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655" windowWidth="11580" windowHeight="297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<sst xmlns="http://schemas.openxmlformats.org/spreadsheetml/2006/main" count="171" uniqueCount="123">
  <si>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</si>
  <si>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</si>
  <si>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</si>
  <si>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</si>
  <si>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</si>
  <si>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</si>
  <si>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</si>
  <si>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</si>
  <si>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</si>
  <si>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</si>
  <si>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</si>
  <si>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</si>
  <si>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</si>
  <si>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</si>
  <si>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</si>
  <si>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</si>
  <si>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</si>
  <si>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</si>
  <si>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</si>
  <si>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</si>
  <si>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</si>
  <si>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</si>
  <si>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</si>
  <si>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</si>
  <si>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</si>
  <si>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</si>
  <si>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</si>
  <si>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</si>
  <si>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</si>
  <si>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</si>
  <si>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</si>
  <si>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</si>
  <si>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</si>
  <si>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</si>
  <si>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</si>
  <si>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</si>
  <si>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</si>
  <si>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</si>
  <si>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</si>
  <si>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</si>
  <si>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</si>
  <si>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</si>
  <si>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</si>
  <si>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</si>
  <si>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</si>
  <si>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</si>
  <si>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</si>
  <si>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</si>
  <si>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</si>
  <si>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</si>
  <si>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</si>
  <si>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</si>
  <si>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</si>
  <si>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</si>
  <si>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</si>
  <si>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</si>
  <si>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</si>
  <si>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</si>
  <si>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</si>
  <si>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</si>
  <si>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</si>
  <si>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</si>
  <si>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</si>
  <si>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</si>
  <si>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</si>
  <si>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</si>
  <si>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</si>
  <si>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</si>
  <si>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</si>
  <si>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</si>
  <si>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</si>
  <si>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</si>
  <si>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</si>
  <si>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</si>
  <si>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</si>
  <si>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</si>
  <si>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</si>
  <si>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</si>
  <si>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</si>
  <si>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</si>
  <si>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</si>
  <si>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</si>
  <si>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</si>
  <si>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</si>
  <si>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</si>
  <si>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</si>
  <si>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</si>
  <si>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</si>
  <si>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</si>
  <si>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</si>
  <si>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</si>
  <si>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</si>
  <si>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</si>
  <si>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</si>
  <si>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</si>
  <si>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</si>
  <si>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</si>
  <si>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</si>
  <si>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</si>
  <si>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</si>
  <si>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</si>
  <si>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</si>
  <si>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План на рік, тис.грн.</t>
  </si>
  <si>
    <t>Відсоток виконання річного плану</t>
  </si>
  <si>
    <t>Відхилення від річного плану, тис.грн.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</si>
  <si>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</si>
  <si>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</si>
  <si>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</si>
  <si>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</si>
  <si>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</si>
  <si>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Дорожній фонд (170703)</t>
  </si>
  <si>
    <t>Природоохоронні заходи (200600, 200700)</t>
  </si>
  <si>
    <t>Реверсна дотація (250301)</t>
  </si>
  <si>
    <t>Субвенція державному бюджету на виконання програм соціально-економічного та культурного розвитку регіонів (250344)</t>
  </si>
  <si>
    <t>Обслуговування боргу (230000)</t>
  </si>
  <si>
    <t>Пільгове перевезення (170102, 170602)</t>
  </si>
  <si>
    <t>Програма підтримки об'єднань співвласників баготоквартирних будинків ОСББ</t>
  </si>
  <si>
    <t>Програма забезпечення амбулаторного лікування хворих нефрологічного профілю</t>
  </si>
  <si>
    <t>План на 10 місяців, тис.грн.</t>
  </si>
  <si>
    <t>Відсоток виконання плану 10 місяців</t>
  </si>
  <si>
    <t>Відхилення від плану 10 місяців, тис.грн.</t>
  </si>
  <si>
    <t>в т.ч. трансферти населенню</t>
  </si>
  <si>
    <t>Аналіз використання коштів міського бюджету за 2015 рік станом на 15.10.2015 року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</si>
</sst>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.0"/>
    <numFmt numFmtId="175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b/>
      <sz val="14"/>
      <color indexed="9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2" fillId="0" borderId="0">
      <alignment/>
      <protection/>
    </xf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4" borderId="0" applyNumberFormat="0" applyBorder="0" applyAlignment="0" applyProtection="0"/>
  </cellStyleXfs>
  <cellXfs count="144">
    <xf numFmtId="0" fontId="0" fillId="0" borderId="0" xfId="0" applyAlignment="1">
      <alignment/>
    </xf>
    <xf numFmtId="173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4" fillId="0" borderId="10" xfId="0" applyNumberFormat="1" applyFont="1" applyFill="1" applyBorder="1" applyAlignment="1">
      <alignment/>
    </xf>
    <xf numFmtId="173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73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73" fontId="4" fillId="0" borderId="15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73" fontId="5" fillId="0" borderId="16" xfId="0" applyNumberFormat="1" applyFont="1" applyFill="1" applyBorder="1" applyAlignment="1">
      <alignment/>
    </xf>
    <xf numFmtId="173" fontId="5" fillId="24" borderId="11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5" fillId="24" borderId="17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73" fontId="3" fillId="0" borderId="10" xfId="0" applyNumberFormat="1" applyFont="1" applyFill="1" applyBorder="1" applyAlignment="1">
      <alignment horizontal="center"/>
    </xf>
    <xf numFmtId="173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73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wrapText="1"/>
    </xf>
    <xf numFmtId="174" fontId="3" fillId="0" borderId="12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4" fillId="24" borderId="13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/>
    </xf>
    <xf numFmtId="174" fontId="4" fillId="24" borderId="11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 horizontal="right"/>
    </xf>
    <xf numFmtId="174" fontId="4" fillId="24" borderId="11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wrapText="1"/>
    </xf>
    <xf numFmtId="174" fontId="5" fillId="0" borderId="12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 wrapText="1"/>
    </xf>
    <xf numFmtId="174" fontId="5" fillId="0" borderId="13" xfId="0" applyNumberFormat="1" applyFont="1" applyFill="1" applyBorder="1" applyAlignment="1">
      <alignment wrapText="1"/>
    </xf>
    <xf numFmtId="174" fontId="4" fillId="0" borderId="13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horizontal="left" wrapText="1"/>
    </xf>
    <xf numFmtId="174" fontId="4" fillId="0" borderId="12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174" fontId="7" fillId="0" borderId="12" xfId="0" applyNumberFormat="1" applyFont="1" applyFill="1" applyBorder="1" applyAlignment="1">
      <alignment wrapText="1"/>
    </xf>
    <xf numFmtId="174" fontId="5" fillId="0" borderId="17" xfId="0" applyNumberFormat="1" applyFont="1" applyFill="1" applyBorder="1" applyAlignment="1">
      <alignment wrapText="1"/>
    </xf>
    <xf numFmtId="174" fontId="4" fillId="0" borderId="17" xfId="0" applyNumberFormat="1" applyFont="1" applyFill="1" applyBorder="1" applyAlignment="1">
      <alignment/>
    </xf>
    <xf numFmtId="174" fontId="4" fillId="0" borderId="14" xfId="0" applyNumberFormat="1" applyFont="1" applyFill="1" applyBorder="1" applyAlignment="1">
      <alignment/>
    </xf>
    <xf numFmtId="174" fontId="5" fillId="24" borderId="17" xfId="0" applyNumberFormat="1" applyFont="1" applyFill="1" applyBorder="1" applyAlignment="1">
      <alignment wrapText="1"/>
    </xf>
    <xf numFmtId="174" fontId="4" fillId="24" borderId="17" xfId="0" applyNumberFormat="1" applyFont="1" applyFill="1" applyBorder="1" applyAlignment="1">
      <alignment/>
    </xf>
    <xf numFmtId="174" fontId="4" fillId="24" borderId="14" xfId="0" applyNumberFormat="1" applyFont="1" applyFill="1" applyBorder="1" applyAlignment="1">
      <alignment/>
    </xf>
    <xf numFmtId="174" fontId="5" fillId="0" borderId="14" xfId="0" applyNumberFormat="1" applyFont="1" applyFill="1" applyBorder="1" applyAlignment="1">
      <alignment wrapText="1"/>
    </xf>
    <xf numFmtId="174" fontId="4" fillId="0" borderId="15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wrapText="1"/>
    </xf>
    <xf numFmtId="174" fontId="3" fillId="0" borderId="15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5" fillId="0" borderId="16" xfId="0" applyNumberFormat="1" applyFont="1" applyFill="1" applyBorder="1" applyAlignment="1">
      <alignment/>
    </xf>
    <xf numFmtId="174" fontId="0" fillId="0" borderId="13" xfId="0" applyNumberFormat="1" applyFont="1" applyFill="1" applyBorder="1" applyAlignment="1">
      <alignment wrapText="1"/>
    </xf>
    <xf numFmtId="174" fontId="0" fillId="0" borderId="11" xfId="0" applyNumberFormat="1" applyFont="1" applyFill="1" applyBorder="1" applyAlignment="1">
      <alignment/>
    </xf>
    <xf numFmtId="174" fontId="4" fillId="0" borderId="17" xfId="0" applyNumberFormat="1" applyFont="1" applyFill="1" applyBorder="1" applyAlignment="1">
      <alignment wrapText="1"/>
    </xf>
    <xf numFmtId="174" fontId="4" fillId="0" borderId="12" xfId="0" applyNumberFormat="1" applyFont="1" applyFill="1" applyBorder="1" applyAlignment="1">
      <alignment wrapText="1"/>
    </xf>
    <xf numFmtId="174" fontId="4" fillId="0" borderId="18" xfId="0" applyNumberFormat="1" applyFont="1" applyFill="1" applyBorder="1" applyAlignment="1">
      <alignment/>
    </xf>
    <xf numFmtId="174" fontId="5" fillId="24" borderId="11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left" wrapText="1"/>
    </xf>
    <xf numFmtId="0" fontId="5" fillId="24" borderId="16" xfId="0" applyFont="1" applyFill="1" applyBorder="1" applyAlignment="1">
      <alignment wrapText="1"/>
    </xf>
    <xf numFmtId="174" fontId="4" fillId="24" borderId="16" xfId="0" applyNumberFormat="1" applyFont="1" applyFill="1" applyBorder="1" applyAlignment="1">
      <alignment/>
    </xf>
    <xf numFmtId="173" fontId="4" fillId="24" borderId="16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173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74" fontId="3" fillId="0" borderId="14" xfId="0" applyNumberFormat="1" applyFont="1" applyFill="1" applyBorder="1" applyAlignment="1">
      <alignment/>
    </xf>
    <xf numFmtId="174" fontId="3" fillId="0" borderId="16" xfId="0" applyNumberFormat="1" applyFont="1" applyFill="1" applyBorder="1" applyAlignment="1">
      <alignment wrapText="1"/>
    </xf>
    <xf numFmtId="174" fontId="3" fillId="0" borderId="14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174" fontId="13" fillId="0" borderId="12" xfId="0" applyNumberFormat="1" applyFont="1" applyFill="1" applyBorder="1" applyAlignment="1">
      <alignment/>
    </xf>
    <xf numFmtId="173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74" fontId="13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vertical="center" wrapText="1"/>
    </xf>
    <xf numFmtId="173" fontId="14" fillId="24" borderId="11" xfId="0" applyNumberFormat="1" applyFont="1" applyFill="1" applyBorder="1" applyAlignment="1">
      <alignment/>
    </xf>
    <xf numFmtId="173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74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73" fontId="35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74" fontId="13" fillId="0" borderId="10" xfId="0" applyNumberFormat="1" applyFont="1" applyFill="1" applyBorder="1" applyAlignment="1">
      <alignment/>
    </xf>
    <xf numFmtId="173" fontId="4" fillId="24" borderId="14" xfId="0" applyNumberFormat="1" applyFont="1" applyFill="1" applyBorder="1" applyAlignment="1">
      <alignment/>
    </xf>
    <xf numFmtId="173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73" fontId="3" fillId="0" borderId="22" xfId="0" applyNumberFormat="1" applyFont="1" applyFill="1" applyBorder="1" applyAlignment="1">
      <alignment/>
    </xf>
    <xf numFmtId="173" fontId="4" fillId="24" borderId="17" xfId="0" applyNumberFormat="1" applyFont="1" applyFill="1" applyBorder="1" applyAlignment="1">
      <alignment/>
    </xf>
    <xf numFmtId="173" fontId="4" fillId="24" borderId="23" xfId="0" applyNumberFormat="1" applyFont="1" applyFill="1" applyBorder="1" applyAlignment="1">
      <alignment/>
    </xf>
    <xf numFmtId="174" fontId="5" fillId="24" borderId="20" xfId="0" applyNumberFormat="1" applyFont="1" applyFill="1" applyBorder="1" applyAlignment="1">
      <alignment wrapText="1"/>
    </xf>
    <xf numFmtId="174" fontId="4" fillId="24" borderId="23" xfId="0" applyNumberFormat="1" applyFont="1" applyFill="1" applyBorder="1" applyAlignment="1">
      <alignment/>
    </xf>
    <xf numFmtId="174" fontId="4" fillId="24" borderId="19" xfId="0" applyNumberFormat="1" applyFont="1" applyFill="1" applyBorder="1" applyAlignment="1">
      <alignment horizontal="right"/>
    </xf>
    <xf numFmtId="174" fontId="3" fillId="0" borderId="21" xfId="0" applyNumberFormat="1" applyFont="1" applyFill="1" applyBorder="1" applyAlignment="1">
      <alignment wrapText="1"/>
    </xf>
    <xf numFmtId="174" fontId="3" fillId="0" borderId="24" xfId="0" applyNumberFormat="1" applyFont="1" applyFill="1" applyBorder="1" applyAlignment="1">
      <alignment horizontal="right"/>
    </xf>
    <xf numFmtId="174" fontId="3" fillId="0" borderId="25" xfId="0" applyNumberFormat="1" applyFont="1" applyFill="1" applyBorder="1" applyAlignment="1">
      <alignment/>
    </xf>
    <xf numFmtId="173" fontId="3" fillId="0" borderId="21" xfId="0" applyNumberFormat="1" applyFont="1" applyFill="1" applyBorder="1" applyAlignment="1">
      <alignment/>
    </xf>
    <xf numFmtId="173" fontId="3" fillId="0" borderId="26" xfId="0" applyNumberFormat="1" applyFont="1" applyFill="1" applyBorder="1" applyAlignment="1">
      <alignment/>
    </xf>
    <xf numFmtId="173" fontId="3" fillId="0" borderId="24" xfId="0" applyNumberFormat="1" applyFont="1" applyFill="1" applyBorder="1" applyAlignment="1">
      <alignment/>
    </xf>
    <xf numFmtId="173" fontId="3" fillId="25" borderId="10" xfId="0" applyNumberFormat="1" applyFont="1" applyFill="1" applyBorder="1" applyAlignment="1">
      <alignment/>
    </xf>
    <xf numFmtId="173" fontId="14" fillId="0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фінансування'!$C$89:$C$93</c:f>
              <c:numCache>
                <c:ptCount val="4"/>
                <c:pt idx="0">
                  <c:v>50609.1</c:v>
                </c:pt>
                <c:pt idx="1">
                  <c:v>41400</c:v>
                </c:pt>
                <c:pt idx="2">
                  <c:v>2575.1</c:v>
                </c:pt>
                <c:pt idx="3">
                  <c:v>6633.999999999998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фінансування'!$D$89:$D$93</c:f>
              <c:numCache>
                <c:ptCount val="4"/>
                <c:pt idx="0">
                  <c:v>34984.19999999999</c:v>
                </c:pt>
                <c:pt idx="1">
                  <c:v>30110.800000000007</c:v>
                </c:pt>
                <c:pt idx="2">
                  <c:v>1123.4999999999998</c:v>
                </c:pt>
                <c:pt idx="3">
                  <c:v>3749.8999999999833</c:v>
                </c:pt>
              </c:numCache>
            </c:numRef>
          </c:val>
          <c:shape val="box"/>
        </c:ser>
        <c:shape val="box"/>
        <c:axId val="5327073"/>
        <c:axId val="47943658"/>
      </c:bar3DChart>
      <c:catAx>
        <c:axId val="53270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943658"/>
        <c:crosses val="autoZero"/>
        <c:auto val="1"/>
        <c:lblOffset val="100"/>
        <c:tickLblSkip val="1"/>
        <c:noMultiLvlLbl val="0"/>
      </c:catAx>
      <c:valAx>
        <c:axId val="479436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2707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363188.99999999994</c:v>
                </c:pt>
                <c:pt idx="1">
                  <c:v>180427.5</c:v>
                </c:pt>
                <c:pt idx="2">
                  <c:v>275292.60000000003</c:v>
                </c:pt>
                <c:pt idx="3">
                  <c:v>45.2</c:v>
                </c:pt>
                <c:pt idx="4">
                  <c:v>22109.6</c:v>
                </c:pt>
                <c:pt idx="5">
                  <c:v>61449.7</c:v>
                </c:pt>
                <c:pt idx="6">
                  <c:v>274.7</c:v>
                </c:pt>
                <c:pt idx="7">
                  <c:v>4017.1999999999216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250870.30000000002</c:v>
                </c:pt>
                <c:pt idx="1">
                  <c:v>126152.80000000002</c:v>
                </c:pt>
                <c:pt idx="2">
                  <c:v>196732.59999999995</c:v>
                </c:pt>
                <c:pt idx="3">
                  <c:v>18.200000000000003</c:v>
                </c:pt>
                <c:pt idx="4">
                  <c:v>13328.799999999997</c:v>
                </c:pt>
                <c:pt idx="5">
                  <c:v>38026.100000000006</c:v>
                </c:pt>
                <c:pt idx="6">
                  <c:v>196.59999999999997</c:v>
                </c:pt>
                <c:pt idx="7">
                  <c:v>2568.0000000000714</c:v>
                </c:pt>
              </c:numCache>
            </c:numRef>
          </c:val>
          <c:shape val="box"/>
        </c:ser>
        <c:shape val="box"/>
        <c:axId val="28839739"/>
        <c:axId val="58231060"/>
      </c:bar3DChart>
      <c:catAx>
        <c:axId val="288397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231060"/>
        <c:crosses val="autoZero"/>
        <c:auto val="1"/>
        <c:lblOffset val="100"/>
        <c:tickLblSkip val="1"/>
        <c:noMultiLvlLbl val="0"/>
      </c:catAx>
      <c:valAx>
        <c:axId val="582310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83973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7"/>
          <c:w val="0.92925"/>
          <c:h val="0.65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244842.30000000002</c:v>
                </c:pt>
                <c:pt idx="1">
                  <c:v>192364.5</c:v>
                </c:pt>
                <c:pt idx="2">
                  <c:v>190875.1</c:v>
                </c:pt>
                <c:pt idx="3">
                  <c:v>13169.4</c:v>
                </c:pt>
                <c:pt idx="4">
                  <c:v>3253.3</c:v>
                </c:pt>
                <c:pt idx="5">
                  <c:v>25623</c:v>
                </c:pt>
                <c:pt idx="6">
                  <c:v>1528.1</c:v>
                </c:pt>
                <c:pt idx="7">
                  <c:v>10393.400000000007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171063.79999999996</c:v>
                </c:pt>
                <c:pt idx="1">
                  <c:v>149094.8</c:v>
                </c:pt>
                <c:pt idx="2">
                  <c:v>137127.3</c:v>
                </c:pt>
                <c:pt idx="3">
                  <c:v>8179.900000000001</c:v>
                </c:pt>
                <c:pt idx="4">
                  <c:v>2477.499999999999</c:v>
                </c:pt>
                <c:pt idx="5">
                  <c:v>14697.099999999999</c:v>
                </c:pt>
                <c:pt idx="6">
                  <c:v>998.7999999999998</c:v>
                </c:pt>
                <c:pt idx="7">
                  <c:v>7583.199999999971</c:v>
                </c:pt>
              </c:numCache>
            </c:numRef>
          </c:val>
          <c:shape val="box"/>
        </c:ser>
        <c:shape val="box"/>
        <c:axId val="54317493"/>
        <c:axId val="19095390"/>
      </c:bar3DChart>
      <c:catAx>
        <c:axId val="543174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095390"/>
        <c:crosses val="autoZero"/>
        <c:auto val="1"/>
        <c:lblOffset val="100"/>
        <c:tickLblSkip val="1"/>
        <c:noMultiLvlLbl val="0"/>
      </c:catAx>
      <c:valAx>
        <c:axId val="190953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31749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5"/>
          <c:w val="0.87025"/>
          <c:h val="0.592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44932.799999999996</c:v>
                </c:pt>
                <c:pt idx="1">
                  <c:v>32171</c:v>
                </c:pt>
                <c:pt idx="2">
                  <c:v>2674</c:v>
                </c:pt>
                <c:pt idx="3">
                  <c:v>652.5</c:v>
                </c:pt>
                <c:pt idx="4">
                  <c:v>74.6</c:v>
                </c:pt>
                <c:pt idx="5">
                  <c:v>9360.699999999995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32403.199999999993</c:v>
                </c:pt>
                <c:pt idx="1">
                  <c:v>23336.400000000005</c:v>
                </c:pt>
                <c:pt idx="2">
                  <c:v>1288.3000000000004</c:v>
                </c:pt>
                <c:pt idx="3">
                  <c:v>475.8</c:v>
                </c:pt>
                <c:pt idx="4">
                  <c:v>17</c:v>
                </c:pt>
                <c:pt idx="5">
                  <c:v>7285.699999999988</c:v>
                </c:pt>
              </c:numCache>
            </c:numRef>
          </c:val>
          <c:shape val="box"/>
        </c:ser>
        <c:shape val="box"/>
        <c:axId val="37640783"/>
        <c:axId val="3222728"/>
      </c:bar3DChart>
      <c:catAx>
        <c:axId val="37640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22728"/>
        <c:crosses val="autoZero"/>
        <c:auto val="1"/>
        <c:lblOffset val="100"/>
        <c:tickLblSkip val="1"/>
        <c:noMultiLvlLbl val="0"/>
      </c:catAx>
      <c:valAx>
        <c:axId val="32227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64078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3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фінансування'!$C$51:$C$56</c:f>
              <c:numCache>
                <c:ptCount val="6"/>
                <c:pt idx="0">
                  <c:v>15058.300000000001</c:v>
                </c:pt>
                <c:pt idx="1">
                  <c:v>9436.5</c:v>
                </c:pt>
                <c:pt idx="2">
                  <c:v>10.9</c:v>
                </c:pt>
                <c:pt idx="3">
                  <c:v>263.7</c:v>
                </c:pt>
                <c:pt idx="4">
                  <c:v>710.5</c:v>
                </c:pt>
                <c:pt idx="5">
                  <c:v>4636.700000000002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фінансування'!$D$51:$D$56</c:f>
              <c:numCache>
                <c:ptCount val="6"/>
                <c:pt idx="0">
                  <c:v>9943.400000000003</c:v>
                </c:pt>
                <c:pt idx="1">
                  <c:v>6593.3</c:v>
                </c:pt>
                <c:pt idx="2">
                  <c:v>1.4</c:v>
                </c:pt>
                <c:pt idx="3">
                  <c:v>133.20000000000002</c:v>
                </c:pt>
                <c:pt idx="4">
                  <c:v>424.2000000000001</c:v>
                </c:pt>
                <c:pt idx="5">
                  <c:v>2791.300000000003</c:v>
                </c:pt>
              </c:numCache>
            </c:numRef>
          </c:val>
          <c:shape val="box"/>
        </c:ser>
        <c:shape val="box"/>
        <c:axId val="29004553"/>
        <c:axId val="59714386"/>
      </c:bar3DChart>
      <c:catAx>
        <c:axId val="290045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714386"/>
        <c:crosses val="autoZero"/>
        <c:auto val="1"/>
        <c:lblOffset val="100"/>
        <c:tickLblSkip val="2"/>
        <c:noMultiLvlLbl val="0"/>
      </c:catAx>
      <c:valAx>
        <c:axId val="597143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00455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фінансування'!$C$58:$C$63</c:f>
              <c:numCache>
                <c:ptCount val="6"/>
                <c:pt idx="0">
                  <c:v>5627</c:v>
                </c:pt>
                <c:pt idx="1">
                  <c:v>1567.3</c:v>
                </c:pt>
                <c:pt idx="2">
                  <c:v>299.9</c:v>
                </c:pt>
                <c:pt idx="3">
                  <c:v>464.8</c:v>
                </c:pt>
                <c:pt idx="4">
                  <c:v>3089.7000000000003</c:v>
                </c:pt>
                <c:pt idx="5">
                  <c:v>205.2999999999994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фінансування'!$D$58:$D$63</c:f>
              <c:numCache>
                <c:ptCount val="6"/>
                <c:pt idx="0">
                  <c:v>4651.099999999999</c:v>
                </c:pt>
                <c:pt idx="1">
                  <c:v>1108.3999999999999</c:v>
                </c:pt>
                <c:pt idx="2">
                  <c:v>296.3</c:v>
                </c:pt>
                <c:pt idx="3">
                  <c:v>244.70000000000005</c:v>
                </c:pt>
                <c:pt idx="4">
                  <c:v>2871.7</c:v>
                </c:pt>
                <c:pt idx="5">
                  <c:v>130.00000000000017</c:v>
                </c:pt>
              </c:numCache>
            </c:numRef>
          </c:val>
          <c:shape val="box"/>
        </c:ser>
        <c:shape val="box"/>
        <c:axId val="558563"/>
        <c:axId val="5027068"/>
      </c:bar3DChart>
      <c:catAx>
        <c:axId val="5585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27068"/>
        <c:crosses val="autoZero"/>
        <c:auto val="1"/>
        <c:lblOffset val="100"/>
        <c:tickLblSkip val="1"/>
        <c:noMultiLvlLbl val="0"/>
      </c:catAx>
      <c:valAx>
        <c:axId val="50270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856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0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фінансування'!$C$94</c:f>
              <c:numCache>
                <c:ptCount val="1"/>
                <c:pt idx="0">
                  <c:v>55867.2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фінансування'!$D$94</c:f>
              <c:numCache>
                <c:ptCount val="1"/>
                <c:pt idx="0">
                  <c:v>44751.30000000002</c:v>
                </c:pt>
              </c:numCache>
            </c:numRef>
          </c:val>
          <c:shape val="box"/>
        </c:ser>
        <c:shape val="box"/>
        <c:axId val="45243613"/>
        <c:axId val="4539334"/>
      </c:bar3DChart>
      <c:catAx>
        <c:axId val="452436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539334"/>
        <c:crosses val="autoZero"/>
        <c:auto val="1"/>
        <c:lblOffset val="100"/>
        <c:tickLblSkip val="1"/>
        <c:noMultiLvlLbl val="0"/>
      </c:catAx>
      <c:valAx>
        <c:axId val="45393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24361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фінансування'!$C$58,'аналіз фінансування'!$C$89,'аналіз фінансування'!$C$94)</c:f>
              <c:numCache>
                <c:ptCount val="7"/>
                <c:pt idx="0">
                  <c:v>363188.99999999994</c:v>
                </c:pt>
                <c:pt idx="1">
                  <c:v>244842.30000000002</c:v>
                </c:pt>
                <c:pt idx="2">
                  <c:v>44932.799999999996</c:v>
                </c:pt>
                <c:pt idx="3">
                  <c:v>15058.300000000001</c:v>
                </c:pt>
                <c:pt idx="4">
                  <c:v>5627</c:v>
                </c:pt>
                <c:pt idx="5">
                  <c:v>50609.1</c:v>
                </c:pt>
                <c:pt idx="6">
                  <c:v>55867.2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фінансування'!$D$58,'аналіз фінансування'!$D$89,'аналіз фінансування'!$D$94)</c:f>
              <c:numCache>
                <c:ptCount val="7"/>
                <c:pt idx="0">
                  <c:v>250870.30000000002</c:v>
                </c:pt>
                <c:pt idx="1">
                  <c:v>171063.79999999996</c:v>
                </c:pt>
                <c:pt idx="2">
                  <c:v>32403.199999999993</c:v>
                </c:pt>
                <c:pt idx="3">
                  <c:v>9943.400000000003</c:v>
                </c:pt>
                <c:pt idx="4">
                  <c:v>4651.099999999999</c:v>
                </c:pt>
                <c:pt idx="5">
                  <c:v>34984.19999999999</c:v>
                </c:pt>
                <c:pt idx="6">
                  <c:v>44751.30000000002</c:v>
                </c:pt>
              </c:numCache>
            </c:numRef>
          </c:val>
          <c:shape val="box"/>
        </c:ser>
        <c:shape val="box"/>
        <c:axId val="40854007"/>
        <c:axId val="32141744"/>
      </c:bar3DChart>
      <c:catAx>
        <c:axId val="408540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141744"/>
        <c:crosses val="autoZero"/>
        <c:auto val="1"/>
        <c:lblOffset val="100"/>
        <c:tickLblSkip val="1"/>
        <c:noMultiLvlLbl val="0"/>
      </c:catAx>
      <c:valAx>
        <c:axId val="321417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85400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фінансування'!$A$150:$A$155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фінансування'!$C$150:$C$155</c:f>
              <c:numCache>
                <c:ptCount val="6"/>
                <c:pt idx="0">
                  <c:v>558420.6</c:v>
                </c:pt>
                <c:pt idx="1">
                  <c:v>99878</c:v>
                </c:pt>
                <c:pt idx="2">
                  <c:v>25986.7</c:v>
                </c:pt>
                <c:pt idx="3">
                  <c:v>14286.000000000002</c:v>
                </c:pt>
                <c:pt idx="4">
                  <c:v>13384.7</c:v>
                </c:pt>
                <c:pt idx="5">
                  <c:v>274544.30000000005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фінансування'!$A$150:$A$155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фінансування'!$D$150:$D$155</c:f>
              <c:numCache>
                <c:ptCount val="6"/>
                <c:pt idx="0">
                  <c:v>400352.79999999993</c:v>
                </c:pt>
                <c:pt idx="1">
                  <c:v>59830.399999999994</c:v>
                </c:pt>
                <c:pt idx="2">
                  <c:v>16269.499999999996</c:v>
                </c:pt>
                <c:pt idx="3">
                  <c:v>9226.4</c:v>
                </c:pt>
                <c:pt idx="4">
                  <c:v>8270.5</c:v>
                </c:pt>
                <c:pt idx="5">
                  <c:v>211342.8070000001</c:v>
                </c:pt>
              </c:numCache>
            </c:numRef>
          </c:val>
          <c:shape val="box"/>
        </c:ser>
        <c:shape val="box"/>
        <c:axId val="20840241"/>
        <c:axId val="53344442"/>
      </c:bar3DChart>
      <c:catAx>
        <c:axId val="208402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344442"/>
        <c:crosses val="autoZero"/>
        <c:auto val="1"/>
        <c:lblOffset val="100"/>
        <c:tickLblSkip val="1"/>
        <c:noMultiLvlLbl val="0"/>
      </c:catAx>
      <c:valAx>
        <c:axId val="533444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84024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5"/>
  <sheetViews>
    <sheetView tabSelected="1" view="pageBreakPreview" zoomScale="80" zoomScaleNormal="75" zoomScaleSheetLayoutView="80" zoomScalePageLayoutView="0" workbookViewId="0" topLeftCell="A1">
      <pane xSplit="1" ySplit="5" topLeftCell="B112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117" sqref="D117"/>
    </sheetView>
  </sheetViews>
  <sheetFormatPr defaultColWidth="9.00390625" defaultRowHeight="12.75"/>
  <cols>
    <col min="1" max="1" width="66.875" style="36" customWidth="1"/>
    <col min="2" max="2" width="19.00390625" style="36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1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37" t="s">
        <v>122</v>
      </c>
      <c r="B1" s="137"/>
      <c r="C1" s="137"/>
      <c r="D1" s="137"/>
      <c r="E1" s="137"/>
      <c r="F1" s="137"/>
      <c r="G1" s="137"/>
      <c r="H1" s="137"/>
      <c r="I1" s="137"/>
    </row>
    <row r="2" spans="1:8" ht="9.75" customHeight="1" thickBot="1">
      <c r="A2" s="27"/>
      <c r="B2" s="27"/>
      <c r="C2" s="10"/>
      <c r="D2" s="10"/>
      <c r="E2" s="10"/>
      <c r="F2" s="10"/>
      <c r="G2" s="10"/>
      <c r="H2" s="10"/>
    </row>
    <row r="3" spans="1:9" ht="29.25" customHeight="1">
      <c r="A3" s="141" t="s">
        <v>49</v>
      </c>
      <c r="B3" s="138" t="s">
        <v>118</v>
      </c>
      <c r="C3" s="138" t="s">
        <v>102</v>
      </c>
      <c r="D3" s="138" t="s">
        <v>28</v>
      </c>
      <c r="E3" s="138" t="s">
        <v>27</v>
      </c>
      <c r="F3" s="138" t="s">
        <v>119</v>
      </c>
      <c r="G3" s="138" t="s">
        <v>103</v>
      </c>
      <c r="H3" s="138" t="s">
        <v>120</v>
      </c>
      <c r="I3" s="138" t="s">
        <v>104</v>
      </c>
    </row>
    <row r="4" spans="1:9" ht="24.75" customHeight="1">
      <c r="A4" s="142"/>
      <c r="B4" s="139"/>
      <c r="C4" s="139"/>
      <c r="D4" s="139"/>
      <c r="E4" s="139"/>
      <c r="F4" s="139"/>
      <c r="G4" s="139"/>
      <c r="H4" s="139"/>
      <c r="I4" s="139"/>
    </row>
    <row r="5" spans="1:9" ht="39" customHeight="1" thickBot="1">
      <c r="A5" s="143"/>
      <c r="B5" s="140"/>
      <c r="C5" s="140"/>
      <c r="D5" s="140"/>
      <c r="E5" s="140"/>
      <c r="F5" s="140"/>
      <c r="G5" s="140"/>
      <c r="H5" s="140"/>
      <c r="I5" s="140"/>
    </row>
    <row r="6" spans="1:9" ht="18.75" thickBot="1">
      <c r="A6" s="28" t="s">
        <v>33</v>
      </c>
      <c r="B6" s="52">
        <f>295749.7+4327.4-3057.7</f>
        <v>297019.4</v>
      </c>
      <c r="C6" s="53">
        <f>336144.8+1363.8+2002.1+1+23261.5+164+251.8</f>
        <v>363188.99999999994</v>
      </c>
      <c r="D6" s="54">
        <f>3778.8+318.6+74.4+4544.7+5310.3+2.2+304.5+4240.2+102.2+2722+99+59+395.4+13.7+14.4+157.5+8732.6+280+12.7+55.8+291.9+43.3+10050.8+2416.1+355.4+689.6+5369.4+293+783.8+2363.8+0.2+8052.3+0.2+852.1+1727.8+670.8+0.6+11747.2+0.3+345.5+79.8-0.1+2467+0.6+330.2+1438.4+323.4+315.3+5183.3+6538.6+70.4+205+130.5+310.3+559.6+5382.7+4525.2+12.4+3769.5+1-0.1+5.9+339.2+0.1+3386.2+7026.7+4343+0.6+1045.6+0.1+609.9+9052+17.5+1332.2+4258.6+40.1+4321+579.2+518.5+9249.7+47.3+341.4+2.2+16104.8+119.7+426.9+66+1232.3+8.9+383.3+2.7+383.3+4785.6+9304.6+67.1+0.1+674.2+5158.9+1833.1+4304.4+712.1+23.4+96.8+246.1+4835.3+320.3+22.4+21.8-0.8+0.8+302.5+0.1+6.9+205.8+4708.8+28+186.5+91.3+68.7+229.9+136.9+107.3+10892.1+58.1+72.9+3.5+2.5+549.6+3886.2+4836.3+265.2+233.8+467.1+1.3+0.6+320.2+15935.7+106.6+0.5+2.2-0.2+174.7+417.6+4.9+110.1+5700.4+4276.1</f>
        <v>260956.90000000002</v>
      </c>
      <c r="E6" s="3">
        <f>D6/D149*100</f>
        <v>35.79991067668018</v>
      </c>
      <c r="F6" s="3">
        <f>D6/B6*100</f>
        <v>87.85853718645987</v>
      </c>
      <c r="G6" s="3">
        <f aca="true" t="shared" si="0" ref="G6:G43">D6/C6*100</f>
        <v>71.85154286060428</v>
      </c>
      <c r="H6" s="3">
        <f>B6-D6</f>
        <v>36062.5</v>
      </c>
      <c r="I6" s="3">
        <f aca="true" t="shared" si="1" ref="I6:I43">C6-D6</f>
        <v>102232.09999999992</v>
      </c>
    </row>
    <row r="7" spans="1:9" s="44" customFormat="1" ht="18.75">
      <c r="A7" s="117" t="s">
        <v>105</v>
      </c>
      <c r="B7" s="109">
        <f>145322.9+4327.4</f>
        <v>149650.3</v>
      </c>
      <c r="C7" s="106">
        <f>173936.4+6491.1</f>
        <v>180427.5</v>
      </c>
      <c r="D7" s="118">
        <f>17278.1+34.8+43.3+5046.6+1441.7+293+463.5+4876.3+308.3+631.3+5138.7+0.1+2292.2+271.4+1820.7+4384.3+517.1+3867.2+3165+1+5.9+6161.5+1598.7+8.6+1158.9+4225.2+4271.2+0.1+579.2+45.1+9037.1+10567.7+116.2+1162.3+1.2+1.3+4453.4+100.1+9.8+5157.8+1660.3+1244+391.9+96.8+1813.6+81.1+19.6+9.2+0.8+21.7+0.1+13.9+2531.3+31.1+7.2+41.1+58.4+4404.6+21.7+3.1+33.9+28.9+4835.7+338.2+1.3+0.6+260.8+7521.9+82.6+0.5+2.2+14.3+43.1+1.4+5698.4</f>
        <v>131851.2</v>
      </c>
      <c r="E7" s="107">
        <f>D7/D6*100</f>
        <v>50.52604472232771</v>
      </c>
      <c r="F7" s="107">
        <f>D7/B7*100</f>
        <v>88.10620493243249</v>
      </c>
      <c r="G7" s="107">
        <f>D7/C7*100</f>
        <v>73.07710853389867</v>
      </c>
      <c r="H7" s="107">
        <f>B7-D7</f>
        <v>17799.099999999977</v>
      </c>
      <c r="I7" s="107">
        <f t="shared" si="1"/>
        <v>48576.29999999999</v>
      </c>
    </row>
    <row r="8" spans="1:9" ht="18">
      <c r="A8" s="29" t="s">
        <v>3</v>
      </c>
      <c r="B8" s="49">
        <f>225576.1+4327.4-3057.7-60.4</f>
        <v>226785.4</v>
      </c>
      <c r="C8" s="50">
        <f>251964.7+23254.2+21.4+203.6-151.3</f>
        <v>275292.60000000003</v>
      </c>
      <c r="D8" s="51">
        <f>2656.8+4544.7+5310.3+304.5+4240.2+2115.7+0.5+13.7+8260.2+9928.8+1441.7+7980.3+10682.7+0.1+0.1+1665.8+5183.3+3109.4+5382+3940+3165+1+0.1+5.9+3224.2+3872.8+9043.5+102.7+4158.8+4271.2-0.1+579.2+6936.6+16104.8+66+373.9+4553.9+9196.1+673.9+5157.8+4304.4+23.4+20.2+4835.3+5.5+49.5+4708.2+28+10889.4+10.8+2.5+3319.4+4835.5+15450.4+0.7-0.1+1.4+5700.4+4276.1</f>
        <v>206709.09999999995</v>
      </c>
      <c r="E8" s="1">
        <f>D8/D6*100</f>
        <v>79.21196948614883</v>
      </c>
      <c r="F8" s="1">
        <f>D8/B8*100</f>
        <v>91.14744599961018</v>
      </c>
      <c r="G8" s="1">
        <f t="shared" si="0"/>
        <v>75.08705283033396</v>
      </c>
      <c r="H8" s="1">
        <f>B8-D8</f>
        <v>20076.300000000047</v>
      </c>
      <c r="I8" s="1">
        <f t="shared" si="1"/>
        <v>68583.50000000009</v>
      </c>
    </row>
    <row r="9" spans="1:9" ht="18">
      <c r="A9" s="29" t="s">
        <v>2</v>
      </c>
      <c r="B9" s="49">
        <v>43.7</v>
      </c>
      <c r="C9" s="50">
        <v>45.2</v>
      </c>
      <c r="D9" s="51">
        <f>0.3+0.2+0.7+0.8+2+0.3+3.5+1.2+0.3+0.4+1.4+0.8+0.2+2.9+0.6+1.3+0.5+0.8</f>
        <v>18.200000000000003</v>
      </c>
      <c r="E9" s="12">
        <f>D9/D6*100</f>
        <v>0.0069743317766267155</v>
      </c>
      <c r="F9" s="135">
        <f>D9/B9*100</f>
        <v>41.64759725400458</v>
      </c>
      <c r="G9" s="1">
        <f t="shared" si="0"/>
        <v>40.26548672566372</v>
      </c>
      <c r="H9" s="1">
        <f aca="true" t="shared" si="2" ref="H9:H43">B9-D9</f>
        <v>25.5</v>
      </c>
      <c r="I9" s="1">
        <f t="shared" si="1"/>
        <v>27</v>
      </c>
    </row>
    <row r="10" spans="1:9" ht="18">
      <c r="A10" s="29" t="s">
        <v>1</v>
      </c>
      <c r="B10" s="49">
        <v>17495.6</v>
      </c>
      <c r="C10" s="50">
        <f>21498.1+611.5</f>
        <v>22109.6</v>
      </c>
      <c r="D10" s="55">
        <f>391.1+295.4+72.7+84.3+268.2+68.6+39+308.5+154.7+328.1+203.3+53.9+39.8+25.1+104.1+11.5+21.9+15+581+50.5+202+8.2+203.8+151.8+67.9+1.5+569.8+330.2+151+135.8+235.2+212.7+53.7+201.8+117.5+280.9+330+0.7+0.8+12.4+3.8+318.9+131.5+305.3+2.4+210.7+11.1+54.8+282+126.7+29.4+276.4+116.2+159.5+227.6+20.7+33.6+3.8+33+0.1+977.3+385.3+7.4+27.8+4+9.2+6.9-0.8+0.8+204.7+6.9+91.1+186.5+91.3+37.6+37.3+4.8+2.7+32.5+356.6+447.8+265.2+233.6+277+228+135.2+95.9-0.2+168.6+275.9+67.7</f>
        <v>13396.499999999998</v>
      </c>
      <c r="E10" s="1">
        <f>D10/D6*100</f>
        <v>5.133606354152734</v>
      </c>
      <c r="F10" s="1">
        <f aca="true" t="shared" si="3" ref="F10:F41">D10/B10*100</f>
        <v>76.57068062827224</v>
      </c>
      <c r="G10" s="1">
        <f t="shared" si="0"/>
        <v>60.59132684444766</v>
      </c>
      <c r="H10" s="1">
        <f t="shared" si="2"/>
        <v>4099.1</v>
      </c>
      <c r="I10" s="1">
        <f t="shared" si="1"/>
        <v>8713.1</v>
      </c>
    </row>
    <row r="11" spans="1:9" ht="18">
      <c r="A11" s="29" t="s">
        <v>0</v>
      </c>
      <c r="B11" s="49">
        <f>48629.4+2.8</f>
        <v>48632.200000000004</v>
      </c>
      <c r="C11" s="50">
        <f>59404.7+2001.2+43.8</f>
        <v>61449.7</v>
      </c>
      <c r="D11" s="56">
        <f>710.3+17.9+0.2+17+333.3+17.1+16+76.8+12.9+141.2+71+247.3+17.2+2.5+2414.8+355.4+677.9+3904.9+275.6+783.8+1761.8+627.5+1607.1+421.9+578.4+120.9-0.2+227.1+1199.6+183.7+71.5+3136.7+0.2+15.2+176.3+559.5+581.7+0.1+2.7+22.2+7026.1+156.2+1027.8+374+8.6+1096.7+88.7+43.1+3.4+212.2+2141.9+39.3+0.3+253.5+970.4+308.9+159+64+10.3+0.1+0.3+821.8+218.1+23+127.5+254+7.2+5.8+10.3+74.7+4.3+195+18.1+19+18.2+1.2+4.7+24.3+141.4+64.6+0.2+86+1.3+61.6+322.5+6+5.7+137.8+27.8</f>
        <v>38053.90000000001</v>
      </c>
      <c r="E11" s="1">
        <f>D11/D6*100</f>
        <v>14.582446373328317</v>
      </c>
      <c r="F11" s="1">
        <f t="shared" si="3"/>
        <v>78.24836219624036</v>
      </c>
      <c r="G11" s="1">
        <f t="shared" si="0"/>
        <v>61.92690932583888</v>
      </c>
      <c r="H11" s="1">
        <f t="shared" si="2"/>
        <v>10578.299999999996</v>
      </c>
      <c r="I11" s="1">
        <f t="shared" si="1"/>
        <v>23395.79999999999</v>
      </c>
    </row>
    <row r="12" spans="1:9" ht="18">
      <c r="A12" s="29" t="s">
        <v>15</v>
      </c>
      <c r="B12" s="49">
        <v>257.8</v>
      </c>
      <c r="C12" s="50">
        <f>286.2+9.9-21.4</f>
        <v>274.7</v>
      </c>
      <c r="D12" s="51">
        <f>3.8+3.8+12.7+7.4+5+16.3+3.8+110.9+3.8+1.2+5.4+9.9+1.2+1.2+9.1+1.2-0.1</f>
        <v>196.59999999999997</v>
      </c>
      <c r="E12" s="1">
        <f>D12/D6*100</f>
        <v>0.07533811138927538</v>
      </c>
      <c r="F12" s="1">
        <f t="shared" si="3"/>
        <v>76.26066718386343</v>
      </c>
      <c r="G12" s="1">
        <f t="shared" si="0"/>
        <v>71.56898434655987</v>
      </c>
      <c r="H12" s="1">
        <f t="shared" si="2"/>
        <v>61.200000000000045</v>
      </c>
      <c r="I12" s="1">
        <f t="shared" si="1"/>
        <v>78.10000000000002</v>
      </c>
    </row>
    <row r="13" spans="1:9" ht="18.75" thickBot="1">
      <c r="A13" s="29" t="s">
        <v>34</v>
      </c>
      <c r="B13" s="50">
        <f>B6-B8-B9-B10-B11-B12</f>
        <v>3804.700000000029</v>
      </c>
      <c r="C13" s="50">
        <f>C6-C8-C9-C10-C11-C12</f>
        <v>4017.1999999999216</v>
      </c>
      <c r="D13" s="50">
        <f>D6-D8-D9-D10-D11-D12</f>
        <v>2582.60000000007</v>
      </c>
      <c r="E13" s="1">
        <f>D13/D6*100</f>
        <v>0.9896653432042111</v>
      </c>
      <c r="F13" s="1">
        <f t="shared" si="3"/>
        <v>67.87920203958394</v>
      </c>
      <c r="G13" s="1">
        <f t="shared" si="0"/>
        <v>64.28855919546253</v>
      </c>
      <c r="H13" s="1">
        <f t="shared" si="2"/>
        <v>1222.099999999959</v>
      </c>
      <c r="I13" s="1">
        <f t="shared" si="1"/>
        <v>1434.5999999998517</v>
      </c>
    </row>
    <row r="14" spans="1:9" s="44" customFormat="1" ht="18.75" customHeight="1" hidden="1">
      <c r="A14" s="108" t="s">
        <v>81</v>
      </c>
      <c r="B14" s="106"/>
      <c r="C14" s="106"/>
      <c r="D14" s="106"/>
      <c r="E14" s="107"/>
      <c r="F14" s="107" t="e">
        <f>D14/B14*100</f>
        <v>#DIV/0!</v>
      </c>
      <c r="G14" s="107" t="e">
        <f>D14/C14*100</f>
        <v>#DIV/0!</v>
      </c>
      <c r="H14" s="107">
        <f>B14-D14</f>
        <v>0</v>
      </c>
      <c r="I14" s="107">
        <f>C14-D14</f>
        <v>0</v>
      </c>
    </row>
    <row r="15" spans="1:9" s="44" customFormat="1" ht="18.75" customHeight="1" hidden="1">
      <c r="A15" s="108" t="s">
        <v>78</v>
      </c>
      <c r="B15" s="106"/>
      <c r="C15" s="106"/>
      <c r="D15" s="106"/>
      <c r="E15" s="107"/>
      <c r="F15" s="107" t="e">
        <f>D15/B15*100</f>
        <v>#DIV/0!</v>
      </c>
      <c r="G15" s="107" t="e">
        <f>D15/C15*100</f>
        <v>#DIV/0!</v>
      </c>
      <c r="H15" s="107">
        <f>B15-D15</f>
        <v>0</v>
      </c>
      <c r="I15" s="107">
        <f>C15-D15</f>
        <v>0</v>
      </c>
    </row>
    <row r="16" spans="1:9" s="44" customFormat="1" ht="19.5" hidden="1" thickBot="1">
      <c r="A16" s="108" t="s">
        <v>79</v>
      </c>
      <c r="B16" s="106"/>
      <c r="C16" s="106"/>
      <c r="D16" s="106"/>
      <c r="E16" s="107"/>
      <c r="F16" s="107" t="e">
        <f>D16/B16*100</f>
        <v>#DIV/0!</v>
      </c>
      <c r="G16" s="107" t="e">
        <f>D16/C16*100</f>
        <v>#DIV/0!</v>
      </c>
      <c r="H16" s="107">
        <f>B16-D16</f>
        <v>0</v>
      </c>
      <c r="I16" s="107">
        <f>C16-D16</f>
        <v>0</v>
      </c>
    </row>
    <row r="17" spans="1:9" s="44" customFormat="1" ht="19.5" hidden="1" thickBot="1">
      <c r="A17" s="108" t="s">
        <v>80</v>
      </c>
      <c r="B17" s="106"/>
      <c r="C17" s="106"/>
      <c r="D17" s="106"/>
      <c r="E17" s="107"/>
      <c r="F17" s="107" t="e">
        <f>D17/B17*100</f>
        <v>#DIV/0!</v>
      </c>
      <c r="G17" s="107" t="e">
        <f>D17/C17*100</f>
        <v>#DIV/0!</v>
      </c>
      <c r="H17" s="107">
        <f>B17-D17</f>
        <v>0</v>
      </c>
      <c r="I17" s="107">
        <f>C17-D17</f>
        <v>0</v>
      </c>
    </row>
    <row r="18" spans="1:9" ht="18.75" thickBot="1">
      <c r="A18" s="28" t="s">
        <v>23</v>
      </c>
      <c r="B18" s="52">
        <f>197445.2+3896.9-2500</f>
        <v>198842.1</v>
      </c>
      <c r="C18" s="53">
        <f>225678.2+490.7+518-0.1+17926+229.6-0.1</f>
        <v>244842.30000000002</v>
      </c>
      <c r="D18" s="54">
        <f>5164.3+574.5+4623.4+2805.2+358.8+626.5+552.8+632.3+5118.8+101.4+166.3+0.1+1058.1+4.5+4222.3+101.4+4273.5+934.6+5187.7+0.2+1536.8+16+1026+471.5+1411.4+11.3+2729.9+4996.6+194.4+3533.4+1472.3+168.5+4832.7+371+3934.8+898.3+352.5+1.4+4521.6+104.4+2151.7+5168.3+224.2+9+433.5+67.9+6957.4+1608.8+2-0.1+6271+1.3+492.7+1.2+5795.8+1113.4+135+3.9+372.9+7829.2+859.7+16.3+3282.7+134.9-0.6+0.7+5558.1+30.6+39.7+1439.1+104.8+53.4+309.2+6685.7+15.5+278.6+0.8-0.7+0.1+4.2+53.2+5089.7+13.1+510.3+5353.8+566.2+417.2+282.7+1.8+1.3+11262.9+191.3+474.1+7.1+190.9+422+739.7+5236.3+5.9+446.4+18.6+249.3+128.5+183+1226.5+7773.6+1022.1+2419.2+233.7+6384.7+3.3</f>
        <v>177451.79999999996</v>
      </c>
      <c r="E18" s="3">
        <f>D18/D149*100</f>
        <v>24.3440912634083</v>
      </c>
      <c r="F18" s="3">
        <f>D18/B18*100</f>
        <v>89.24256985819399</v>
      </c>
      <c r="G18" s="3">
        <f t="shared" si="0"/>
        <v>72.47595697312104</v>
      </c>
      <c r="H18" s="3">
        <f>B18-D18</f>
        <v>21390.300000000047</v>
      </c>
      <c r="I18" s="3">
        <f t="shared" si="1"/>
        <v>67390.50000000006</v>
      </c>
    </row>
    <row r="19" spans="1:9" s="44" customFormat="1" ht="18.75">
      <c r="A19" s="117" t="s">
        <v>106</v>
      </c>
      <c r="B19" s="109">
        <f>168112.5+3896.9</f>
        <v>172009.4</v>
      </c>
      <c r="C19" s="106">
        <f>186519.2+5845.3</f>
        <v>192364.5</v>
      </c>
      <c r="D19" s="118">
        <f>20724.4+1058.1+4.5+4107.3+4273.5+909.7+5187.7+0.2+1026+1411.4+1.1+2729.9+0.1+4996.6+194.4+3533.4+1472.3+168.5+4832.7+355.2+3934.8+898.3+346.7+1.4+2032.6+5166.1+215.6+8.9+280.6+67.9+6901.6+1571.1-0.1+2551.6+0.1+462.5+1.2+5789.6+1050.1+122.6+3.9+372.9+7820.2+857.3+16.3+3282.7+134.9+0.1+0.7+5558.1+1331.9+104.8+53.1+307+6685.7+15.5+19.1-0.7+4.2+53.2+2126.2+488.7+5353.8+566.2+387+183+8179.9+186.7+474.1+7.1+190.9+384.4+725.8+5236.3+5.9+446.4+18.6+1117.4+7770.4+26.9+208+6332.4+3.3</f>
        <v>155430.49999999997</v>
      </c>
      <c r="E19" s="107">
        <f>D19/D18*100</f>
        <v>87.59026394773116</v>
      </c>
      <c r="F19" s="107">
        <f t="shared" si="3"/>
        <v>90.36163139921422</v>
      </c>
      <c r="G19" s="107">
        <f t="shared" si="0"/>
        <v>80.79999168245699</v>
      </c>
      <c r="H19" s="107">
        <f t="shared" si="2"/>
        <v>16578.900000000023</v>
      </c>
      <c r="I19" s="107">
        <f t="shared" si="1"/>
        <v>36934.00000000003</v>
      </c>
    </row>
    <row r="20" spans="1:9" ht="18">
      <c r="A20" s="29" t="s">
        <v>5</v>
      </c>
      <c r="B20" s="49">
        <f>157781.2+3896.9-2500</f>
        <v>159178.1</v>
      </c>
      <c r="C20" s="50">
        <f>169195.9+21679.2</f>
        <v>190875.1</v>
      </c>
      <c r="D20" s="51">
        <f>5164.3+574.5+4352.6-225.6+2461.2+632.3+5026.9+4104.6-0.1+3875.3+3989.4+855.4+280+4996.6+192.6+3533.4+437.2+168.1+4832.7+3683.6+898.2+0.2+194.2+4252.2+32.7+5166.1+5891.5+37.7+4672.2+35.4+5475.1+7818.4+36.9+3282.7+5558.1+6685.7+5089.2+5184.9+428+8.5+10175.1+4.6+451.5+7.1+62.1+35.4+555.5+5231.5+7507.3+1022.1+2392.2+5912</f>
        <v>143039.3</v>
      </c>
      <c r="E20" s="1">
        <f>D20/D18*100</f>
        <v>80.6074100121836</v>
      </c>
      <c r="F20" s="1">
        <f t="shared" si="3"/>
        <v>89.86116808782111</v>
      </c>
      <c r="G20" s="1">
        <f t="shared" si="0"/>
        <v>74.93869027442553</v>
      </c>
      <c r="H20" s="1">
        <f t="shared" si="2"/>
        <v>16138.800000000017</v>
      </c>
      <c r="I20" s="1">
        <f t="shared" si="1"/>
        <v>47835.80000000002</v>
      </c>
    </row>
    <row r="21" spans="1:9" ht="18">
      <c r="A21" s="29" t="s">
        <v>2</v>
      </c>
      <c r="B21" s="49">
        <v>10663.9</v>
      </c>
      <c r="C21" s="50">
        <f>12491.1+200.3+305.9+172.1</f>
        <v>13169.4</v>
      </c>
      <c r="D21" s="51">
        <f>11+1.8+42.7+3+47.6+40.1+0.7+2.5+101.4-0.1+82.5+53+0.2+1536.8+83.2+0.7+12.8+1.8+77.1+0.2+37.6+299.6+50.4+17.9+245.6+224.3+1.2+312.9+1.2+314.9+3.5+3.6+128.9+182.5+0.1+23.5+30.3+658.3+3.6+8.8+69.3+15.5+197.3+4.2+5.4+0.5+219.1+48+346.4+73.3+462.1+183.9+22.3+63.8+132.1+76.2+180.9+249.3+128.5+183+523.2+211.3+136.6+108.5</f>
        <v>8288.400000000001</v>
      </c>
      <c r="E21" s="1">
        <f>D21/D18*100</f>
        <v>4.670789476353581</v>
      </c>
      <c r="F21" s="1">
        <f t="shared" si="3"/>
        <v>77.72390963906265</v>
      </c>
      <c r="G21" s="1">
        <f t="shared" si="0"/>
        <v>62.936808055036686</v>
      </c>
      <c r="H21" s="1">
        <f t="shared" si="2"/>
        <v>2375.499999999998</v>
      </c>
      <c r="I21" s="1">
        <f t="shared" si="1"/>
        <v>4880.999999999998</v>
      </c>
    </row>
    <row r="22" spans="1:9" ht="18">
      <c r="A22" s="29" t="s">
        <v>1</v>
      </c>
      <c r="B22" s="49">
        <v>2772.5</v>
      </c>
      <c r="C22" s="50">
        <v>3253.3</v>
      </c>
      <c r="D22" s="51">
        <f>173.9+19+7.6+19.5+89.8+0.1+92.4+48.6+202.1+56.1+96.9+242.1+36.1+19.2+171.7+0.1+22.2+39+81.6+82+84.2+0.1+30.3-30.3+115.9+98.3+38+4.5+18.6+10.9+19.7+48.1+4+8.7+43.6+162.2+10.7+30.1+34.4+4.8+5.9+39.2+16.6+148.1+22.9+4.7+0.1+3.2+63.6+3.3</f>
        <v>2544.399999999999</v>
      </c>
      <c r="E22" s="1">
        <f>D22/D18*100</f>
        <v>1.4338541508172922</v>
      </c>
      <c r="F22" s="1">
        <f t="shared" si="3"/>
        <v>91.77276825969338</v>
      </c>
      <c r="G22" s="1">
        <f t="shared" si="0"/>
        <v>78.20981772354222</v>
      </c>
      <c r="H22" s="1">
        <f t="shared" si="2"/>
        <v>228.10000000000082</v>
      </c>
      <c r="I22" s="1">
        <f t="shared" si="1"/>
        <v>708.900000000001</v>
      </c>
    </row>
    <row r="23" spans="1:9" ht="18">
      <c r="A23" s="29" t="s">
        <v>0</v>
      </c>
      <c r="B23" s="49">
        <v>16125</v>
      </c>
      <c r="C23" s="50">
        <f>24676.2+518+428.8</f>
        <v>25623</v>
      </c>
      <c r="D23" s="51">
        <f>96.9+173.9+611.9+463.4+109.9+698.9+114.7+0.2+702.4+1027.2+819.6+1945.5+240.6+329.9+0.1+104.4+1287.1+2.2+0.5+9+338.9+138.1+1558.4-0.2+1154.7+105.4+0.9+293.6+119+115+9.1+124.5+51.3+389.9+0.7+203.6+1.9+162.9+23.4+13.1+13.4+112.5+336.9+48.5+137.8+113.8+352.6+18+21.1+176.1</f>
        <v>14873.199999999999</v>
      </c>
      <c r="E23" s="1">
        <f>D23/D18*100</f>
        <v>8.381543607898033</v>
      </c>
      <c r="F23" s="1">
        <f t="shared" si="3"/>
        <v>92.2368992248062</v>
      </c>
      <c r="G23" s="1">
        <f t="shared" si="0"/>
        <v>58.04628653943722</v>
      </c>
      <c r="H23" s="1">
        <f t="shared" si="2"/>
        <v>1251.800000000001</v>
      </c>
      <c r="I23" s="1">
        <f t="shared" si="1"/>
        <v>10749.800000000001</v>
      </c>
    </row>
    <row r="24" spans="1:9" ht="18">
      <c r="A24" s="29" t="s">
        <v>15</v>
      </c>
      <c r="B24" s="49">
        <v>1170.9</v>
      </c>
      <c r="C24" s="50">
        <v>1528.1</v>
      </c>
      <c r="D24" s="51">
        <f>111+58.1+166.1+55.7+24.9+10.1-0.1+89.8+44.2+0.1+106.9+106.7+78.8+27.8+48.4+56.6+13.9-0.2+32.5</f>
        <v>1031.2999999999997</v>
      </c>
      <c r="E24" s="1">
        <f>D24/D18*100</f>
        <v>0.5811719013275717</v>
      </c>
      <c r="F24" s="1">
        <f t="shared" si="3"/>
        <v>88.07754718592533</v>
      </c>
      <c r="G24" s="1">
        <f t="shared" si="0"/>
        <v>67.48903867547934</v>
      </c>
      <c r="H24" s="1">
        <f t="shared" si="2"/>
        <v>139.60000000000036</v>
      </c>
      <c r="I24" s="1">
        <f t="shared" si="1"/>
        <v>496.8000000000002</v>
      </c>
    </row>
    <row r="25" spans="1:9" ht="18.75" thickBot="1">
      <c r="A25" s="29" t="s">
        <v>34</v>
      </c>
      <c r="B25" s="50">
        <f>B18-B20-B21-B22-B23-B24</f>
        <v>8931.699999999999</v>
      </c>
      <c r="C25" s="50">
        <f>C18-C20-C21-C22-C23-C24</f>
        <v>10393.400000000007</v>
      </c>
      <c r="D25" s="50">
        <f>D18-D20-D21-D22-D23-D24</f>
        <v>7675.199999999973</v>
      </c>
      <c r="E25" s="1">
        <f>D25/D18*100</f>
        <v>4.325230851419921</v>
      </c>
      <c r="F25" s="1">
        <f t="shared" si="3"/>
        <v>85.93212938186431</v>
      </c>
      <c r="G25" s="1">
        <f t="shared" si="0"/>
        <v>73.84686435622577</v>
      </c>
      <c r="H25" s="1">
        <f t="shared" si="2"/>
        <v>1256.5000000000255</v>
      </c>
      <c r="I25" s="1">
        <f t="shared" si="1"/>
        <v>2718.2000000000335</v>
      </c>
    </row>
    <row r="26" spans="1:9" ht="57" hidden="1" thickBot="1">
      <c r="A26" s="108" t="s">
        <v>89</v>
      </c>
      <c r="B26" s="50"/>
      <c r="C26" s="50"/>
      <c r="D26" s="50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6.75" customHeight="1" hidden="1">
      <c r="A27" s="108" t="s">
        <v>90</v>
      </c>
      <c r="B27" s="50"/>
      <c r="C27" s="50"/>
      <c r="D27" s="50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19.5" hidden="1" thickBot="1">
      <c r="A28" s="108" t="s">
        <v>91</v>
      </c>
      <c r="B28" s="50"/>
      <c r="C28" s="50"/>
      <c r="D28" s="50"/>
      <c r="E28" s="1"/>
      <c r="F28" s="1" t="e">
        <f t="shared" si="3"/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9.75" customHeight="1" hidden="1">
      <c r="A29" s="108" t="s">
        <v>92</v>
      </c>
      <c r="B29" s="50"/>
      <c r="C29" s="50"/>
      <c r="D29" s="50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37.5" customHeight="1" hidden="1">
      <c r="A30" s="108" t="s">
        <v>93</v>
      </c>
      <c r="B30" s="50"/>
      <c r="C30" s="50"/>
      <c r="D30" s="50"/>
      <c r="E30" s="1"/>
      <c r="F30" s="1" t="e">
        <f>D30/B30*100</f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36" customHeight="1" hidden="1">
      <c r="A31" s="108" t="s">
        <v>94</v>
      </c>
      <c r="B31" s="50"/>
      <c r="C31" s="50"/>
      <c r="D31" s="50"/>
      <c r="E31" s="1"/>
      <c r="F31" s="1" t="e">
        <f t="shared" si="3"/>
        <v>#DIV/0!</v>
      </c>
      <c r="G31" s="1" t="e">
        <f t="shared" si="0"/>
        <v>#DIV/0!</v>
      </c>
      <c r="H31" s="1">
        <f t="shared" si="2"/>
        <v>0</v>
      </c>
      <c r="I31" s="1">
        <f t="shared" si="1"/>
        <v>0</v>
      </c>
    </row>
    <row r="32" spans="1:9" ht="19.5" hidden="1" thickBot="1">
      <c r="A32" s="108" t="s">
        <v>95</v>
      </c>
      <c r="B32" s="50"/>
      <c r="C32" s="50"/>
      <c r="D32" s="50"/>
      <c r="E32" s="1"/>
      <c r="F32" s="1" t="e">
        <f t="shared" si="3"/>
        <v>#DIV/0!</v>
      </c>
      <c r="G32" s="1" t="e">
        <f t="shared" si="0"/>
        <v>#DIV/0!</v>
      </c>
      <c r="H32" s="1">
        <f t="shared" si="2"/>
        <v>0</v>
      </c>
      <c r="I32" s="1">
        <f t="shared" si="1"/>
        <v>0</v>
      </c>
    </row>
    <row r="33" spans="1:9" ht="18.75" thickBot="1">
      <c r="A33" s="28" t="s">
        <v>18</v>
      </c>
      <c r="B33" s="52">
        <f>37461.6-7.3+37.1</f>
        <v>37491.399999999994</v>
      </c>
      <c r="C33" s="53">
        <f>41831.7+164.1+250.5+5+2544.6+99.9-0.1+37.1</f>
        <v>44932.799999999996</v>
      </c>
      <c r="D33" s="57">
        <f>1251.6+285.2+60+12.3+10.8+1064.6+3.2+0.1-0.1+22.2+396.9+163.2+73.2+1267+3.8+36.5+85.5+1249.9+29.3+7.7+421.4+118.5+23.8+204.6+104.2+1392.3+65.1+49.1+0.4+84.2+34+40.6+94.4+1266.4+1.8+93.6+2.6+158.7-0.1+300+102.9+181.8+11.7+1194.3+144+112.5+25.4+0.8+5.5+57.9+125.2+1.2+1246+17.6+42.6+0.8+389.9+113.4+1225.3+70.3+0.3+50+117.8+123+8.5+1422.9+53.8+21.2+0.1+333.3+161+2+4175.2+25.1+56.5+1.5+62.9+119.5+68+2.1+36.5+1937.1+1.5+226.9+420.9+29.8+412.4+5.4+70.2+29.4+6.7+30.5+401.4+0.1+1.5+0.1+541.9+0.7+2.1+352.5+45.1+0.2+1.1+70.1+0.2+34.5+1125.2+77.6+60.1+24.5-6+38+374.9+65.3+159.4+3.4+1234.5+1.5+54.4+72.5+28+0.1+1613.2+8.1+0.1+293.5+163.8+3.7+1357.7+52.6</f>
        <v>33817.19999999999</v>
      </c>
      <c r="E33" s="3">
        <f>D33/D149*100</f>
        <v>4.639282346377613</v>
      </c>
      <c r="F33" s="3">
        <f>D33/B33*100</f>
        <v>90.19988584048608</v>
      </c>
      <c r="G33" s="3">
        <f t="shared" si="0"/>
        <v>75.26172417476764</v>
      </c>
      <c r="H33" s="3">
        <f t="shared" si="2"/>
        <v>3674.2000000000044</v>
      </c>
      <c r="I33" s="3">
        <f t="shared" si="1"/>
        <v>11115.600000000006</v>
      </c>
    </row>
    <row r="34" spans="1:9" ht="18">
      <c r="A34" s="29" t="s">
        <v>3</v>
      </c>
      <c r="B34" s="49">
        <v>27060.1</v>
      </c>
      <c r="C34" s="50">
        <f>29626.4+2544.6</f>
        <v>32171</v>
      </c>
      <c r="D34" s="51">
        <f>1216.2+1064.6-0.1+1185.2+1240.8+0.1+1202.8+1206.8+1191.1+1224.7+5.8+1196.2+1414.6+52.8+4003.5+27.3+1811.7+0.1+103.5+404.5+5.7+308.6+119.4+352.5+1116.3+2.5+53.9+1234.5+1590.9-0.1+1357.7</f>
        <v>24694.100000000006</v>
      </c>
      <c r="E34" s="1">
        <f>D34/D33*100</f>
        <v>73.02230817453844</v>
      </c>
      <c r="F34" s="1">
        <f t="shared" si="3"/>
        <v>91.25649942165775</v>
      </c>
      <c r="G34" s="1">
        <f t="shared" si="0"/>
        <v>76.75888222312022</v>
      </c>
      <c r="H34" s="1">
        <f t="shared" si="2"/>
        <v>2365.9999999999927</v>
      </c>
      <c r="I34" s="1">
        <f t="shared" si="1"/>
        <v>7476.899999999994</v>
      </c>
    </row>
    <row r="35" spans="1:9" ht="18" hidden="1">
      <c r="A35" s="29" t="s">
        <v>1</v>
      </c>
      <c r="B35" s="49"/>
      <c r="C35" s="50"/>
      <c r="D35" s="51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1">
        <f t="shared" si="2"/>
        <v>0</v>
      </c>
      <c r="I35" s="1">
        <f t="shared" si="1"/>
        <v>0</v>
      </c>
    </row>
    <row r="36" spans="1:9" ht="18">
      <c r="A36" s="29" t="s">
        <v>0</v>
      </c>
      <c r="B36" s="49">
        <v>1888.8</v>
      </c>
      <c r="C36" s="50">
        <f>2423.5+250.5</f>
        <v>2674</v>
      </c>
      <c r="D36" s="51">
        <f>6.5+2.8+10.2+0.8+23.6+67.7+80.5+1.3+36.1+6.9+3.3+7.6-0.1+154.9+32.2+23.8+2.3+86.1+23.3+3.4+0.7+1.8+4.8+6+11.6+1.8+11.8+146.5+0.1+108.8+11.7+126.6+38.9+18.4+2.1+20+16.9+1.2+11.9+10.2+1.9+0.2+21+12.1+42.3+0.3+5.6+0.6+7.9+5.6+4.3-0.1+1.9+4+0.1+0.2+2.4+5.5+0.5+1.5+0.1+0.1+2.3+3.4+0.7+0.2+0.6+0.4+6.4+0.1+0.1+0.1+2.9+0.7+0.1+0.2+0.1+6.9+1.7+0.1+0.9+2+0.4+6.9+3.1+0.2+1.9+2.9+0.3</f>
        <v>1288.6000000000004</v>
      </c>
      <c r="E36" s="1">
        <f>D36/D33*100</f>
        <v>3.810486971127121</v>
      </c>
      <c r="F36" s="1">
        <f t="shared" si="3"/>
        <v>68.22321050402374</v>
      </c>
      <c r="G36" s="1">
        <f t="shared" si="0"/>
        <v>48.18997756170532</v>
      </c>
      <c r="H36" s="1">
        <f t="shared" si="2"/>
        <v>600.1999999999996</v>
      </c>
      <c r="I36" s="1">
        <f t="shared" si="1"/>
        <v>1385.3999999999996</v>
      </c>
    </row>
    <row r="37" spans="1:9" s="44" customFormat="1" ht="18.75">
      <c r="A37" s="23" t="s">
        <v>7</v>
      </c>
      <c r="B37" s="58">
        <f>583.2+37.1</f>
        <v>620.3000000000001</v>
      </c>
      <c r="C37" s="59">
        <f>493.5+22+99.9+37.1</f>
        <v>652.5</v>
      </c>
      <c r="D37" s="60">
        <f>19+12.3+0.1+11.9+3.2+10.7+22.4+14.8+37.3+30.8+8.3+7.2+2+25.1+13.4+51+75.3+5+2.8+24.5+38+3.4+3+54.3</f>
        <v>475.8</v>
      </c>
      <c r="E37" s="19">
        <f>D37/D33*100</f>
        <v>1.406976331570917</v>
      </c>
      <c r="F37" s="19">
        <f t="shared" si="3"/>
        <v>76.70482024826696</v>
      </c>
      <c r="G37" s="19">
        <f t="shared" si="0"/>
        <v>72.91954022988506</v>
      </c>
      <c r="H37" s="19">
        <f t="shared" si="2"/>
        <v>144.50000000000006</v>
      </c>
      <c r="I37" s="19">
        <f t="shared" si="1"/>
        <v>176.7</v>
      </c>
    </row>
    <row r="38" spans="1:9" ht="18">
      <c r="A38" s="29" t="s">
        <v>15</v>
      </c>
      <c r="B38" s="49">
        <f>40.4+27.4</f>
        <v>67.8</v>
      </c>
      <c r="C38" s="50">
        <f>47.2+27.4</f>
        <v>74.6</v>
      </c>
      <c r="D38" s="50">
        <f>3.4+3.4+3.4+3.4+3.4+50.8</f>
        <v>67.8</v>
      </c>
      <c r="E38" s="1">
        <f>D38/D33*100</f>
        <v>0.20048969163620886</v>
      </c>
      <c r="F38" s="1">
        <f t="shared" si="3"/>
        <v>100</v>
      </c>
      <c r="G38" s="1">
        <f t="shared" si="0"/>
        <v>90.88471849865952</v>
      </c>
      <c r="H38" s="1">
        <f t="shared" si="2"/>
        <v>0</v>
      </c>
      <c r="I38" s="1">
        <f t="shared" si="1"/>
        <v>6.799999999999997</v>
      </c>
    </row>
    <row r="39" spans="1:9" ht="18.75" thickBot="1">
      <c r="A39" s="29" t="s">
        <v>34</v>
      </c>
      <c r="B39" s="49">
        <f>B33-B34-B36-B37-B35-B38</f>
        <v>7854.399999999996</v>
      </c>
      <c r="C39" s="49">
        <f>C33-C34-C36-C37-C35-C38</f>
        <v>9360.699999999995</v>
      </c>
      <c r="D39" s="49">
        <f>D33-D34-D36-D37-D35-D38</f>
        <v>7290.899999999983</v>
      </c>
      <c r="E39" s="1">
        <f>D39/D33*100</f>
        <v>21.559738831127312</v>
      </c>
      <c r="F39" s="1">
        <f t="shared" si="3"/>
        <v>92.82567732735775</v>
      </c>
      <c r="G39" s="1">
        <f t="shared" si="0"/>
        <v>77.88840578161876</v>
      </c>
      <c r="H39" s="1">
        <f>B39-D39</f>
        <v>563.5000000000127</v>
      </c>
      <c r="I39" s="1">
        <f t="shared" si="1"/>
        <v>2069.800000000012</v>
      </c>
    </row>
    <row r="40" spans="1:9" ht="19.5" hidden="1" thickBot="1">
      <c r="A40" s="108" t="s">
        <v>86</v>
      </c>
      <c r="B40" s="109"/>
      <c r="C40" s="109"/>
      <c r="D40" s="109"/>
      <c r="E40" s="107"/>
      <c r="F40" s="107" t="e">
        <f t="shared" si="3"/>
        <v>#DIV/0!</v>
      </c>
      <c r="G40" s="107" t="e">
        <f t="shared" si="0"/>
        <v>#DIV/0!</v>
      </c>
      <c r="H40" s="107">
        <f>B40-D40</f>
        <v>0</v>
      </c>
      <c r="I40" s="107">
        <f t="shared" si="1"/>
        <v>0</v>
      </c>
    </row>
    <row r="41" spans="1:9" ht="19.5" hidden="1" thickBot="1">
      <c r="A41" s="108" t="s">
        <v>87</v>
      </c>
      <c r="B41" s="109"/>
      <c r="C41" s="109"/>
      <c r="D41" s="109"/>
      <c r="E41" s="107"/>
      <c r="F41" s="107" t="e">
        <f t="shared" si="3"/>
        <v>#DIV/0!</v>
      </c>
      <c r="G41" s="107" t="e">
        <f t="shared" si="0"/>
        <v>#DIV/0!</v>
      </c>
      <c r="H41" s="107">
        <f>B41-D41</f>
        <v>0</v>
      </c>
      <c r="I41" s="107">
        <f t="shared" si="1"/>
        <v>0</v>
      </c>
    </row>
    <row r="42" spans="1:9" ht="19.5" hidden="1" thickBot="1">
      <c r="A42" s="108" t="s">
        <v>88</v>
      </c>
      <c r="B42" s="109"/>
      <c r="C42" s="109"/>
      <c r="D42" s="109"/>
      <c r="E42" s="107"/>
      <c r="F42" s="107"/>
      <c r="G42" s="107" t="e">
        <f t="shared" si="0"/>
        <v>#DIV/0!</v>
      </c>
      <c r="H42" s="107">
        <f>B42-D42</f>
        <v>0</v>
      </c>
      <c r="I42" s="107">
        <f t="shared" si="1"/>
        <v>0</v>
      </c>
    </row>
    <row r="43" spans="1:9" ht="19.5" thickBot="1">
      <c r="A43" s="14" t="s">
        <v>17</v>
      </c>
      <c r="B43" s="110">
        <v>691.1</v>
      </c>
      <c r="C43" s="53">
        <f>768.4+32.5+15+3+3</f>
        <v>821.9</v>
      </c>
      <c r="D43" s="54">
        <f>17.7+12.2+11.2+51.1+0.8+30+0.1+18.9+27.3+43.7+9+5.4+5.6+7.8+24.4+6.4-0.1+26.1+70.2+6+6+27.3+26.1+5.1+3+1+25.2+2+11+3.6+29+1+5+4.7+31.3+9.4</f>
        <v>564.5</v>
      </c>
      <c r="E43" s="3">
        <f>D43/D149*100</f>
        <v>0.07744209705505375</v>
      </c>
      <c r="F43" s="3">
        <f>D43/B43*100</f>
        <v>81.68137751410795</v>
      </c>
      <c r="G43" s="3">
        <f t="shared" si="0"/>
        <v>68.68232145029809</v>
      </c>
      <c r="H43" s="3">
        <f t="shared" si="2"/>
        <v>126.60000000000002</v>
      </c>
      <c r="I43" s="3">
        <f t="shared" si="1"/>
        <v>257.4</v>
      </c>
    </row>
    <row r="44" spans="1:9" ht="12" customHeight="1" thickBot="1">
      <c r="A44" s="31"/>
      <c r="B44" s="62"/>
      <c r="C44" s="63"/>
      <c r="D44" s="64"/>
      <c r="E44" s="7"/>
      <c r="F44" s="7"/>
      <c r="G44" s="7"/>
      <c r="H44" s="7"/>
      <c r="I44" s="7"/>
    </row>
    <row r="45" spans="1:9" ht="18.75" thickBot="1">
      <c r="A45" s="28" t="s">
        <v>54</v>
      </c>
      <c r="B45" s="52">
        <v>6021.4</v>
      </c>
      <c r="C45" s="53">
        <f>6659.3+87.1+1.5+764.6+17.8+0.1</f>
        <v>7530.4000000000015</v>
      </c>
      <c r="D45" s="54">
        <f>193+223+8.7+101.1+200.9+9+241+299.2+7.6+43.6+283.1+0.8+48.7+276.1+3.4+2.2+253.5+5+282+1.9+4.8+3.2+261.3+0.5+265.1+0.7+6.9+276.6+1.6+124.9+209.3+1.9+2.9+4.7+268.2+52.2+128+106.4+2.5+2.2+206.7+137.5+253.2+11.2+1.2+355.4-0.1+10.3+216.8</f>
        <v>5399.899999999998</v>
      </c>
      <c r="E45" s="3">
        <f>D45/D149*100</f>
        <v>0.7407964214129045</v>
      </c>
      <c r="F45" s="3">
        <f>D45/B45*100</f>
        <v>89.67848008768722</v>
      </c>
      <c r="G45" s="3">
        <f aca="true" t="shared" si="4" ref="G45:G75">D45/C45*100</f>
        <v>71.70801019866138</v>
      </c>
      <c r="H45" s="3">
        <f>B45-D45</f>
        <v>621.5000000000018</v>
      </c>
      <c r="I45" s="3">
        <f aca="true" t="shared" si="5" ref="I45:I76">C45-D45</f>
        <v>2130.5000000000036</v>
      </c>
    </row>
    <row r="46" spans="1:9" ht="18">
      <c r="A46" s="29" t="s">
        <v>3</v>
      </c>
      <c r="B46" s="49">
        <v>5267.6</v>
      </c>
      <c r="C46" s="50">
        <f>5755.9+764.6</f>
        <v>6520.5</v>
      </c>
      <c r="D46" s="51">
        <f>193+222.7+1.6+196.4+240.9+0.1+199.7+265.9+214+253.1+238.6+255.9+243.9+273.5+83.6+206+267.9+52.2+106.2+102.2+205.5+137.5+232.3+354.4-0.1+203.6</f>
        <v>4750.599999999999</v>
      </c>
      <c r="E46" s="1">
        <f>D46/D45*100</f>
        <v>87.97570325376398</v>
      </c>
      <c r="F46" s="1">
        <f aca="true" t="shared" si="6" ref="F46:F73">D46/B46*100</f>
        <v>90.18528362062418</v>
      </c>
      <c r="G46" s="1">
        <f t="shared" si="4"/>
        <v>72.85637604478184</v>
      </c>
      <c r="H46" s="1">
        <f aca="true" t="shared" si="7" ref="H46:H73">B46-D46</f>
        <v>517.0000000000009</v>
      </c>
      <c r="I46" s="1">
        <f t="shared" si="5"/>
        <v>1769.9000000000005</v>
      </c>
    </row>
    <row r="47" spans="1:9" ht="18">
      <c r="A47" s="29" t="s">
        <v>2</v>
      </c>
      <c r="B47" s="49">
        <v>1</v>
      </c>
      <c r="C47" s="50">
        <v>1.2</v>
      </c>
      <c r="D47" s="51">
        <f>0.3+0.4+0.3</f>
        <v>1</v>
      </c>
      <c r="E47" s="1">
        <f>D47/D45*100</f>
        <v>0.018518861460397423</v>
      </c>
      <c r="F47" s="1">
        <f t="shared" si="6"/>
        <v>100</v>
      </c>
      <c r="G47" s="1">
        <f t="shared" si="4"/>
        <v>83.33333333333334</v>
      </c>
      <c r="H47" s="1">
        <f t="shared" si="7"/>
        <v>0</v>
      </c>
      <c r="I47" s="1">
        <f t="shared" si="5"/>
        <v>0.19999999999999996</v>
      </c>
    </row>
    <row r="48" spans="1:9" ht="18">
      <c r="A48" s="29" t="s">
        <v>1</v>
      </c>
      <c r="B48" s="49">
        <v>47.7</v>
      </c>
      <c r="C48" s="50">
        <v>60.2</v>
      </c>
      <c r="D48" s="51">
        <f>3.8+1+5.7-0.1+1.3+4.1-0.1+4.6+1.1+4.8+5.5+2+1.7+4.3</f>
        <v>39.7</v>
      </c>
      <c r="E48" s="1">
        <f>D48/D45*100</f>
        <v>0.7351987999777777</v>
      </c>
      <c r="F48" s="1">
        <f t="shared" si="6"/>
        <v>83.22851153039832</v>
      </c>
      <c r="G48" s="1">
        <f t="shared" si="4"/>
        <v>65.9468438538206</v>
      </c>
      <c r="H48" s="1">
        <f t="shared" si="7"/>
        <v>8</v>
      </c>
      <c r="I48" s="1">
        <f t="shared" si="5"/>
        <v>20.5</v>
      </c>
    </row>
    <row r="49" spans="1:9" ht="18">
      <c r="A49" s="29" t="s">
        <v>0</v>
      </c>
      <c r="B49" s="49">
        <v>346.8</v>
      </c>
      <c r="C49" s="50">
        <f>538.3+0.2</f>
        <v>538.5</v>
      </c>
      <c r="D49" s="51">
        <f>4.7+90.3+4.8+67.1+3.1+1.1+45.6+36.3+2.7+2+0.1+34.4+3.4+0.5+2.5+1.1+0.5+0.5+1.4+1.1+0.5+1.9+0.9+0.4+1.5+1.2+0.1+0.4</f>
        <v>310.09999999999985</v>
      </c>
      <c r="E49" s="1">
        <f>D49/D45*100</f>
        <v>5.742698938869238</v>
      </c>
      <c r="F49" s="1">
        <f t="shared" si="6"/>
        <v>89.41753171856973</v>
      </c>
      <c r="G49" s="1">
        <f t="shared" si="4"/>
        <v>57.58588672237694</v>
      </c>
      <c r="H49" s="1">
        <f t="shared" si="7"/>
        <v>36.70000000000016</v>
      </c>
      <c r="I49" s="1">
        <f t="shared" si="5"/>
        <v>228.40000000000015</v>
      </c>
    </row>
    <row r="50" spans="1:9" ht="18.75" thickBot="1">
      <c r="A50" s="29" t="s">
        <v>34</v>
      </c>
      <c r="B50" s="50">
        <f>B45-B46-B49-B48-B47</f>
        <v>358.2999999999993</v>
      </c>
      <c r="C50" s="50">
        <f>C45-C46-C49-C48-C47</f>
        <v>410.0000000000015</v>
      </c>
      <c r="D50" s="50">
        <f>D45-D46-D49-D48-D47</f>
        <v>298.4999999999985</v>
      </c>
      <c r="E50" s="1">
        <f>D50/D45*100</f>
        <v>5.527880145928603</v>
      </c>
      <c r="F50" s="1">
        <f t="shared" si="6"/>
        <v>83.31007535584682</v>
      </c>
      <c r="G50" s="1">
        <f t="shared" si="4"/>
        <v>72.80487804877987</v>
      </c>
      <c r="H50" s="1">
        <f t="shared" si="7"/>
        <v>59.80000000000075</v>
      </c>
      <c r="I50" s="1">
        <f t="shared" si="5"/>
        <v>111.50000000000296</v>
      </c>
    </row>
    <row r="51" spans="1:9" ht="18.75" thickBot="1">
      <c r="A51" s="28" t="s">
        <v>4</v>
      </c>
      <c r="B51" s="52">
        <v>12203.3</v>
      </c>
      <c r="C51" s="53">
        <f>13881+326.7+639.9+50+160.7</f>
        <v>15058.300000000001</v>
      </c>
      <c r="D51" s="54">
        <f>260.4+84.2+35.2+27.7+429.5+47.7+9.2+7.6+47.3+0.3+0.2+338.5+6.8+0.3+85+62.8+1.5+472.7+38.5+0.1+49.4+117.6+311.3+37+71.4+15+489.6+106.2+9.7+10.3+4.5+1.3+36.2+1.3+0.1+7.8+422+397.2+336.3+9+7.3+340.2+125.4+0.6+0.7+104.5+599.5+27.8+16.3-0.1+66.2+423.1+90.3+68.5+866.6+0.1+9.5+54.8+362+13.6+26.1+0.4+1.1+0.1+32.1+477.5+22.1-0.3+18.4+219.2+53.5+6+15.6+8.3+326.2+64.5+19.7+4.1+9.7+338.6+39.3+2.3+15.9+0.3+675.8+1.2+0.1+23.9+398.6</f>
        <v>10365.900000000003</v>
      </c>
      <c r="E51" s="3">
        <f>D51/D149*100</f>
        <v>1.4220673761966023</v>
      </c>
      <c r="F51" s="3">
        <f>D51/B51*100</f>
        <v>84.94341694459699</v>
      </c>
      <c r="G51" s="3">
        <f t="shared" si="4"/>
        <v>68.83844789916526</v>
      </c>
      <c r="H51" s="3">
        <f>B51-D51</f>
        <v>1837.399999999996</v>
      </c>
      <c r="I51" s="3">
        <f t="shared" si="5"/>
        <v>4692.399999999998</v>
      </c>
    </row>
    <row r="52" spans="1:9" ht="18">
      <c r="A52" s="29" t="s">
        <v>3</v>
      </c>
      <c r="B52" s="49">
        <v>7576</v>
      </c>
      <c r="C52" s="50">
        <f>8729.1+639.9+67.5</f>
        <v>9436.5</v>
      </c>
      <c r="D52" s="51">
        <f>260.4+390.2+0.1+271.7+395.7-0.1+282.9+391.4+0.1+7.8+263.9+397.2+272.6+486-0.1+358+766.6-0.1+295.1+13.6+394.1+219.2+320.5+285+521.5+317.6</f>
        <v>6910.900000000001</v>
      </c>
      <c r="E52" s="1">
        <f>D52/D51*100</f>
        <v>66.66956077137536</v>
      </c>
      <c r="F52" s="1">
        <f t="shared" si="6"/>
        <v>91.22096092925027</v>
      </c>
      <c r="G52" s="1">
        <f t="shared" si="4"/>
        <v>73.23583955915859</v>
      </c>
      <c r="H52" s="1">
        <f t="shared" si="7"/>
        <v>665.0999999999995</v>
      </c>
      <c r="I52" s="1">
        <f t="shared" si="5"/>
        <v>2525.5999999999995</v>
      </c>
    </row>
    <row r="53" spans="1:9" ht="18">
      <c r="A53" s="29" t="s">
        <v>2</v>
      </c>
      <c r="B53" s="49">
        <v>7.6</v>
      </c>
      <c r="C53" s="50">
        <v>10.9</v>
      </c>
      <c r="D53" s="51">
        <f>1.4</f>
        <v>1.4</v>
      </c>
      <c r="E53" s="1">
        <f>D53/D51*100</f>
        <v>0.013505821973972345</v>
      </c>
      <c r="F53" s="1">
        <f t="shared" si="6"/>
        <v>18.421052631578945</v>
      </c>
      <c r="G53" s="1">
        <f t="shared" si="4"/>
        <v>12.844036697247704</v>
      </c>
      <c r="H53" s="1">
        <f t="shared" si="7"/>
        <v>6.199999999999999</v>
      </c>
      <c r="I53" s="1">
        <f t="shared" si="5"/>
        <v>9.5</v>
      </c>
    </row>
    <row r="54" spans="1:9" ht="18">
      <c r="A54" s="29" t="s">
        <v>1</v>
      </c>
      <c r="B54" s="49">
        <v>212.9</v>
      </c>
      <c r="C54" s="50">
        <f>189.7+74</f>
        <v>263.7</v>
      </c>
      <c r="D54" s="51">
        <f>1.7+1.5+4.6+9.7+8-0.1+0.1+5.9+12.1+0.1+17.6+12.8+4+10.7+8.4+14.1+1.9+4.9+0.7+2.4+2.3+3.8+1+1.4+3.6+2.3</f>
        <v>135.50000000000003</v>
      </c>
      <c r="E54" s="1">
        <f>D54/D51*100</f>
        <v>1.3071706267666097</v>
      </c>
      <c r="F54" s="1">
        <f t="shared" si="6"/>
        <v>63.64490371066229</v>
      </c>
      <c r="G54" s="1">
        <f t="shared" si="4"/>
        <v>51.384148653773245</v>
      </c>
      <c r="H54" s="1">
        <f t="shared" si="7"/>
        <v>77.39999999999998</v>
      </c>
      <c r="I54" s="1">
        <f t="shared" si="5"/>
        <v>128.19999999999996</v>
      </c>
    </row>
    <row r="55" spans="1:9" ht="18">
      <c r="A55" s="29" t="s">
        <v>0</v>
      </c>
      <c r="B55" s="49">
        <v>498</v>
      </c>
      <c r="C55" s="50">
        <f>709.9+0.6</f>
        <v>710.5</v>
      </c>
      <c r="D55" s="51">
        <f>1.1+7.6+5.9+0.3+0.2+6.8+0.3+67.1+16.4-0.1+19.5+19.3+76.2+4.5+12.1+86.4+1+0.1+7.3+44.6+0.6+0.7+4.7+3.3+0.6+3.6+2.4+6.1+0.1+1.4+1.4+0.4+0.1+0.5+4.8+1.4+0.3+5.7+0.1+0.9+0.8+1.1+0.2+6.4+0.7</f>
        <v>424.9000000000001</v>
      </c>
      <c r="E55" s="1">
        <f>D55/D51*100</f>
        <v>4.099016969100608</v>
      </c>
      <c r="F55" s="1">
        <f t="shared" si="6"/>
        <v>85.32128514056227</v>
      </c>
      <c r="G55" s="1">
        <f t="shared" si="4"/>
        <v>59.80295566502465</v>
      </c>
      <c r="H55" s="1">
        <f t="shared" si="7"/>
        <v>73.09999999999991</v>
      </c>
      <c r="I55" s="1">
        <f t="shared" si="5"/>
        <v>285.5999999999999</v>
      </c>
    </row>
    <row r="56" spans="1:9" ht="18.75" thickBot="1">
      <c r="A56" s="29" t="s">
        <v>34</v>
      </c>
      <c r="B56" s="50">
        <f>B51-B52-B55-B54-B53</f>
        <v>3908.7999999999993</v>
      </c>
      <c r="C56" s="50">
        <f>C51-C52-C55-C54-C53</f>
        <v>4636.700000000002</v>
      </c>
      <c r="D56" s="50">
        <f>D51-D52-D55-D54-D53</f>
        <v>2893.2000000000025</v>
      </c>
      <c r="E56" s="1">
        <f>D56/D51*100</f>
        <v>27.91074581078345</v>
      </c>
      <c r="F56" s="1">
        <f t="shared" si="6"/>
        <v>74.017601309865</v>
      </c>
      <c r="G56" s="1">
        <f t="shared" si="4"/>
        <v>62.397826040071635</v>
      </c>
      <c r="H56" s="1">
        <f t="shared" si="7"/>
        <v>1015.5999999999967</v>
      </c>
      <c r="I56" s="1">
        <f>C56-D56</f>
        <v>1743.499999999999</v>
      </c>
    </row>
    <row r="57" spans="1:9" s="44" customFormat="1" ht="19.5" hidden="1" thickBot="1">
      <c r="A57" s="108" t="s">
        <v>85</v>
      </c>
      <c r="B57" s="106"/>
      <c r="C57" s="106"/>
      <c r="D57" s="106"/>
      <c r="E57" s="1"/>
      <c r="F57" s="107" t="e">
        <f t="shared" si="6"/>
        <v>#DIV/0!</v>
      </c>
      <c r="G57" s="107" t="e">
        <f t="shared" si="4"/>
        <v>#DIV/0!</v>
      </c>
      <c r="H57" s="107">
        <f t="shared" si="7"/>
        <v>0</v>
      </c>
      <c r="I57" s="107">
        <f>C57-D57</f>
        <v>0</v>
      </c>
    </row>
    <row r="58" spans="1:9" ht="18.75" thickBot="1">
      <c r="A58" s="28" t="s">
        <v>6</v>
      </c>
      <c r="B58" s="52">
        <v>5212</v>
      </c>
      <c r="C58" s="53">
        <f>3033.3+2447.7+44+102</f>
        <v>5627</v>
      </c>
      <c r="D58" s="54">
        <f>36.1+65.6+6.5+0.4+1.3+60.3+3+39.2+0.1+14.1+69.1+5.2-0.1+1.8+81+43+6.1+66+42.4+63.1+71.4+46.8+10.3+27.4+2.3+82.5+2.8+0.1+44.9+0.6+7.5+171.3-0.1+367.2+95.8+11.5+311.3+2+93.8+64.9+129.4+50.3+170.3+51.7+1.1+3.7+105.6+80.3+0.1+0.5+56.7+4.1+474.6+79.9+0.1+1424.2+42.1</f>
        <v>4693.2</v>
      </c>
      <c r="E58" s="3">
        <f>D58/D149*100</f>
        <v>0.6438463240013786</v>
      </c>
      <c r="F58" s="3">
        <f>D58/B58*100</f>
        <v>90.04604758250193</v>
      </c>
      <c r="G58" s="3">
        <f t="shared" si="4"/>
        <v>83.40501155144837</v>
      </c>
      <c r="H58" s="3">
        <f>B58-D58</f>
        <v>518.8000000000002</v>
      </c>
      <c r="I58" s="3">
        <f t="shared" si="5"/>
        <v>933.8000000000002</v>
      </c>
    </row>
    <row r="59" spans="1:9" ht="18">
      <c r="A59" s="29" t="s">
        <v>3</v>
      </c>
      <c r="B59" s="49">
        <v>1295.8</v>
      </c>
      <c r="C59" s="50">
        <f>1426.1+141.2</f>
        <v>1567.3</v>
      </c>
      <c r="D59" s="51">
        <f>36.1+65.6+39.2+69.1+1.8+43+66+41.2+71.4+46.8+1.2+82.5+0.1+44.9+89.3+53.8+64.9+50.3+105.6+56.7+78.9+42.1</f>
        <v>1150.4999999999998</v>
      </c>
      <c r="E59" s="1">
        <f>D59/D58*100</f>
        <v>24.514190744055224</v>
      </c>
      <c r="F59" s="1">
        <f t="shared" si="6"/>
        <v>88.78684982250346</v>
      </c>
      <c r="G59" s="1">
        <f t="shared" si="4"/>
        <v>73.40649524660242</v>
      </c>
      <c r="H59" s="1">
        <f t="shared" si="7"/>
        <v>145.30000000000018</v>
      </c>
      <c r="I59" s="1">
        <f t="shared" si="5"/>
        <v>416.8000000000002</v>
      </c>
    </row>
    <row r="60" spans="1:9" ht="18">
      <c r="A60" s="29" t="s">
        <v>1</v>
      </c>
      <c r="B60" s="49">
        <v>299.9</v>
      </c>
      <c r="C60" s="50">
        <f>299.9</f>
        <v>299.9</v>
      </c>
      <c r="D60" s="51">
        <f>82+25+0.2+76.4+51.7+60.3+0.7</f>
        <v>296.3</v>
      </c>
      <c r="E60" s="1">
        <f>D60/D58*100</f>
        <v>6.31338958493139</v>
      </c>
      <c r="F60" s="1">
        <f>D60/B60*100</f>
        <v>98.79959986662222</v>
      </c>
      <c r="G60" s="1">
        <f t="shared" si="4"/>
        <v>98.79959986662222</v>
      </c>
      <c r="H60" s="1">
        <f t="shared" si="7"/>
        <v>3.599999999999966</v>
      </c>
      <c r="I60" s="1">
        <f t="shared" si="5"/>
        <v>3.599999999999966</v>
      </c>
    </row>
    <row r="61" spans="1:9" ht="18">
      <c r="A61" s="29" t="s">
        <v>0</v>
      </c>
      <c r="B61" s="49">
        <v>331</v>
      </c>
      <c r="C61" s="50">
        <f>420.8+44</f>
        <v>464.8</v>
      </c>
      <c r="D61" s="51">
        <f>1.3+56.1+4.9+63.5+3.5+0.7+63-0.1+10.3+25.7+2.8+0.3+7.3+0.2+1+0.1+0.3+1+0.2+2.3+0.3</f>
        <v>244.70000000000005</v>
      </c>
      <c r="E61" s="1">
        <f>D61/D58*100</f>
        <v>5.213926532003751</v>
      </c>
      <c r="F61" s="1">
        <f t="shared" si="6"/>
        <v>73.92749244712992</v>
      </c>
      <c r="G61" s="1">
        <f t="shared" si="4"/>
        <v>52.646299483648896</v>
      </c>
      <c r="H61" s="1">
        <f t="shared" si="7"/>
        <v>86.29999999999995</v>
      </c>
      <c r="I61" s="1">
        <f t="shared" si="5"/>
        <v>220.09999999999997</v>
      </c>
    </row>
    <row r="62" spans="1:9" ht="18">
      <c r="A62" s="29" t="s">
        <v>15</v>
      </c>
      <c r="B62" s="49">
        <v>3089.7</v>
      </c>
      <c r="C62" s="50">
        <f>728.9+2400-39.2</f>
        <v>3089.7000000000003</v>
      </c>
      <c r="D62" s="51">
        <f>367.2+308.5+129.4+168.2+474.6+1423.8</f>
        <v>2871.7</v>
      </c>
      <c r="E62" s="1">
        <f>D62/D58*100</f>
        <v>61.18852808318418</v>
      </c>
      <c r="F62" s="1">
        <f>D62/B62*100</f>
        <v>92.94429879923617</v>
      </c>
      <c r="G62" s="1">
        <f t="shared" si="4"/>
        <v>92.94429879923615</v>
      </c>
      <c r="H62" s="1">
        <f t="shared" si="7"/>
        <v>218</v>
      </c>
      <c r="I62" s="1">
        <f t="shared" si="5"/>
        <v>218.00000000000045</v>
      </c>
    </row>
    <row r="63" spans="1:9" ht="18.75" thickBot="1">
      <c r="A63" s="29" t="s">
        <v>34</v>
      </c>
      <c r="B63" s="50">
        <f>B58-B59-B61-B62-B60</f>
        <v>195.60000000000002</v>
      </c>
      <c r="C63" s="50">
        <f>C58-C59-C61-C62-C60</f>
        <v>205.2999999999994</v>
      </c>
      <c r="D63" s="50">
        <f>D58-D59-D61-D62-D60</f>
        <v>130.00000000000017</v>
      </c>
      <c r="E63" s="1">
        <f>D63/D58*100</f>
        <v>2.769965055825453</v>
      </c>
      <c r="F63" s="1">
        <f t="shared" si="6"/>
        <v>66.46216768916163</v>
      </c>
      <c r="G63" s="1">
        <f t="shared" si="4"/>
        <v>63.321967851924285</v>
      </c>
      <c r="H63" s="1">
        <f t="shared" si="7"/>
        <v>65.59999999999985</v>
      </c>
      <c r="I63" s="1">
        <f t="shared" si="5"/>
        <v>75.29999999999922</v>
      </c>
    </row>
    <row r="64" spans="1:9" s="44" customFormat="1" ht="19.5" hidden="1" thickBot="1">
      <c r="A64" s="108" t="s">
        <v>96</v>
      </c>
      <c r="B64" s="106"/>
      <c r="C64" s="106"/>
      <c r="D64" s="106"/>
      <c r="E64" s="107"/>
      <c r="F64" s="107" t="e">
        <f>D64/B64*100</f>
        <v>#DIV/0!</v>
      </c>
      <c r="G64" s="107" t="e">
        <f>D64/C64*100</f>
        <v>#DIV/0!</v>
      </c>
      <c r="H64" s="107">
        <f t="shared" si="7"/>
        <v>0</v>
      </c>
      <c r="I64" s="107">
        <f t="shared" si="5"/>
        <v>0</v>
      </c>
    </row>
    <row r="65" spans="1:9" s="44" customFormat="1" ht="19.5" hidden="1" thickBot="1">
      <c r="A65" s="108" t="s">
        <v>82</v>
      </c>
      <c r="B65" s="106"/>
      <c r="C65" s="106"/>
      <c r="D65" s="106"/>
      <c r="E65" s="107"/>
      <c r="F65" s="107" t="e">
        <f t="shared" si="6"/>
        <v>#DIV/0!</v>
      </c>
      <c r="G65" s="107" t="e">
        <f t="shared" si="4"/>
        <v>#DIV/0!</v>
      </c>
      <c r="H65" s="107">
        <f t="shared" si="7"/>
        <v>0</v>
      </c>
      <c r="I65" s="107">
        <f t="shared" si="5"/>
        <v>0</v>
      </c>
    </row>
    <row r="66" spans="1:9" s="44" customFormat="1" ht="19.5" hidden="1" thickBot="1">
      <c r="A66" s="108" t="s">
        <v>83</v>
      </c>
      <c r="B66" s="106"/>
      <c r="C66" s="106"/>
      <c r="D66" s="106"/>
      <c r="E66" s="107"/>
      <c r="F66" s="107" t="e">
        <f t="shared" si="6"/>
        <v>#DIV/0!</v>
      </c>
      <c r="G66" s="107" t="e">
        <f t="shared" si="4"/>
        <v>#DIV/0!</v>
      </c>
      <c r="H66" s="107">
        <f t="shared" si="7"/>
        <v>0</v>
      </c>
      <c r="I66" s="107">
        <f t="shared" si="5"/>
        <v>0</v>
      </c>
    </row>
    <row r="67" spans="1:9" s="44" customFormat="1" ht="19.5" hidden="1" thickBot="1">
      <c r="A67" s="108" t="s">
        <v>84</v>
      </c>
      <c r="B67" s="106"/>
      <c r="C67" s="106"/>
      <c r="D67" s="106"/>
      <c r="E67" s="107"/>
      <c r="F67" s="107" t="e">
        <f t="shared" si="6"/>
        <v>#DIV/0!</v>
      </c>
      <c r="G67" s="107" t="e">
        <f t="shared" si="4"/>
        <v>#DIV/0!</v>
      </c>
      <c r="H67" s="107">
        <f t="shared" si="7"/>
        <v>0</v>
      </c>
      <c r="I67" s="107">
        <f t="shared" si="5"/>
        <v>0</v>
      </c>
    </row>
    <row r="68" spans="1:9" ht="18.75" thickBot="1">
      <c r="A68" s="28" t="s">
        <v>24</v>
      </c>
      <c r="B68" s="53">
        <f>B69+B70</f>
        <v>348.8</v>
      </c>
      <c r="C68" s="53">
        <f>C69+C70</f>
        <v>384.30000000000007</v>
      </c>
      <c r="D68" s="54">
        <f>SUM(D69:D70)</f>
        <v>267.7</v>
      </c>
      <c r="E68" s="42">
        <f>D68/D149*100</f>
        <v>0.036724976761094576</v>
      </c>
      <c r="F68" s="111">
        <f>D68/B68*100</f>
        <v>76.74885321100918</v>
      </c>
      <c r="G68" s="3">
        <f t="shared" si="4"/>
        <v>69.65912047879259</v>
      </c>
      <c r="H68" s="3">
        <f>B68-D68</f>
        <v>81.10000000000002</v>
      </c>
      <c r="I68" s="3">
        <f t="shared" si="5"/>
        <v>116.60000000000008</v>
      </c>
    </row>
    <row r="69" spans="1:9" ht="18">
      <c r="A69" s="29" t="s">
        <v>8</v>
      </c>
      <c r="B69" s="49">
        <v>309.6</v>
      </c>
      <c r="C69" s="50">
        <f>250.3-5+64.3</f>
        <v>309.6</v>
      </c>
      <c r="D69" s="51">
        <f>0.2+12.6+73.3+85.8+22+1.3+2.3+2.7+1.6+2.5+7.9-0.2+3.6+5.1+14.9+0.1+2.1+5.3+13.2</f>
        <v>256.3</v>
      </c>
      <c r="E69" s="1">
        <f>D69/D68*100</f>
        <v>95.74150168098619</v>
      </c>
      <c r="F69" s="1">
        <f t="shared" si="6"/>
        <v>82.78423772609818</v>
      </c>
      <c r="G69" s="1">
        <f t="shared" si="4"/>
        <v>82.78423772609818</v>
      </c>
      <c r="H69" s="1">
        <f t="shared" si="7"/>
        <v>53.30000000000001</v>
      </c>
      <c r="I69" s="1">
        <f t="shared" si="5"/>
        <v>53.30000000000001</v>
      </c>
    </row>
    <row r="70" spans="1:9" ht="18.75" thickBot="1">
      <c r="A70" s="29" t="s">
        <v>9</v>
      </c>
      <c r="B70" s="49">
        <f>46.7-7.5</f>
        <v>39.2</v>
      </c>
      <c r="C70" s="50">
        <f>242.8-42.9-28.6-11-78-0.1-7.5</f>
        <v>74.70000000000002</v>
      </c>
      <c r="D70" s="51">
        <f>7.4+0.2+3.8</f>
        <v>11.4</v>
      </c>
      <c r="E70" s="1">
        <f>D70/D69*100</f>
        <v>4.44791260241904</v>
      </c>
      <c r="F70" s="1">
        <f t="shared" si="6"/>
        <v>29.081632653061224</v>
      </c>
      <c r="G70" s="1">
        <f t="shared" si="4"/>
        <v>15.261044176706825</v>
      </c>
      <c r="H70" s="1">
        <f t="shared" si="7"/>
        <v>27.800000000000004</v>
      </c>
      <c r="I70" s="1">
        <f t="shared" si="5"/>
        <v>63.30000000000002</v>
      </c>
    </row>
    <row r="71" spans="1:9" ht="38.25" hidden="1" thickBot="1">
      <c r="A71" s="14" t="s">
        <v>50</v>
      </c>
      <c r="B71" s="61"/>
      <c r="C71" s="53">
        <f>C72+C73+C74+C75</f>
        <v>0</v>
      </c>
      <c r="D71" s="53">
        <f>D72+D73+D74+D75</f>
        <v>0</v>
      </c>
      <c r="E71" s="3">
        <f>D71/D149*100</f>
        <v>0</v>
      </c>
      <c r="F71" s="3" t="e">
        <f>D71/B71*100</f>
        <v>#DIV/0!</v>
      </c>
      <c r="G71" s="3" t="e">
        <f t="shared" si="4"/>
        <v>#DIV/0!</v>
      </c>
      <c r="H71" s="3">
        <f>B71-D71</f>
        <v>0</v>
      </c>
      <c r="I71" s="3">
        <f t="shared" si="5"/>
        <v>0</v>
      </c>
    </row>
    <row r="72" spans="1:9" ht="19.5" hidden="1" thickBot="1">
      <c r="A72" s="23" t="s">
        <v>56</v>
      </c>
      <c r="B72" s="58"/>
      <c r="C72" s="65"/>
      <c r="D72" s="56"/>
      <c r="E72" s="37" t="e">
        <f>D72/D71*100</f>
        <v>#DIV/0!</v>
      </c>
      <c r="F72" s="1" t="e">
        <f t="shared" si="6"/>
        <v>#DIV/0!</v>
      </c>
      <c r="G72" s="1" t="e">
        <f t="shared" si="4"/>
        <v>#DIV/0!</v>
      </c>
      <c r="H72" s="1">
        <f t="shared" si="7"/>
        <v>0</v>
      </c>
      <c r="I72" s="1">
        <f t="shared" si="5"/>
        <v>0</v>
      </c>
    </row>
    <row r="73" spans="1:9" ht="19.5" hidden="1" thickBot="1">
      <c r="A73" s="23" t="s">
        <v>57</v>
      </c>
      <c r="B73" s="58"/>
      <c r="C73" s="65"/>
      <c r="D73" s="56"/>
      <c r="E73" s="37" t="e">
        <f>D73/D71*100</f>
        <v>#DIV/0!</v>
      </c>
      <c r="F73" s="1" t="e">
        <f t="shared" si="6"/>
        <v>#DIV/0!</v>
      </c>
      <c r="G73" s="1" t="e">
        <f t="shared" si="4"/>
        <v>#DIV/0!</v>
      </c>
      <c r="H73" s="1">
        <f t="shared" si="7"/>
        <v>0</v>
      </c>
      <c r="I73" s="1">
        <f t="shared" si="5"/>
        <v>0</v>
      </c>
    </row>
    <row r="74" spans="1:9" ht="19.5" hidden="1" thickBot="1">
      <c r="A74" s="30" t="s">
        <v>41</v>
      </c>
      <c r="B74" s="66"/>
      <c r="C74" s="67"/>
      <c r="D74" s="68"/>
      <c r="E74" s="37" t="e">
        <f>D74/D71*100</f>
        <v>#DIV/0!</v>
      </c>
      <c r="F74" s="37"/>
      <c r="G74" s="1" t="e">
        <f t="shared" si="4"/>
        <v>#DIV/0!</v>
      </c>
      <c r="H74" s="1"/>
      <c r="I74" s="1">
        <f t="shared" si="5"/>
        <v>0</v>
      </c>
    </row>
    <row r="75" spans="1:9" ht="19.5" hidden="1" thickBot="1">
      <c r="A75" s="30" t="s">
        <v>51</v>
      </c>
      <c r="B75" s="66"/>
      <c r="C75" s="67"/>
      <c r="D75" s="68"/>
      <c r="E75" s="37" t="e">
        <f>D75/D71*100</f>
        <v>#DIV/0!</v>
      </c>
      <c r="F75" s="37"/>
      <c r="G75" s="1" t="e">
        <f t="shared" si="4"/>
        <v>#DIV/0!</v>
      </c>
      <c r="H75" s="1"/>
      <c r="I75" s="1">
        <f t="shared" si="5"/>
        <v>0</v>
      </c>
    </row>
    <row r="76" spans="1:9" s="44" customFormat="1" ht="19.5" thickBot="1">
      <c r="A76" s="31" t="s">
        <v>14</v>
      </c>
      <c r="B76" s="62">
        <v>204.1</v>
      </c>
      <c r="C76" s="69">
        <f>10000-6127.8-2982.3-400</f>
        <v>489.89999999999964</v>
      </c>
      <c r="D76" s="70"/>
      <c r="E76" s="48"/>
      <c r="F76" s="48"/>
      <c r="G76" s="48"/>
      <c r="H76" s="48">
        <f>B76-D76</f>
        <v>204.1</v>
      </c>
      <c r="I76" s="48">
        <f t="shared" si="5"/>
        <v>489.89999999999964</v>
      </c>
    </row>
    <row r="77" spans="1:9" ht="8.25" customHeight="1" thickBot="1">
      <c r="A77" s="23"/>
      <c r="B77" s="58"/>
      <c r="C77" s="67"/>
      <c r="D77" s="68"/>
      <c r="E77" s="6"/>
      <c r="F77" s="6"/>
      <c r="G77" s="6"/>
      <c r="H77" s="6"/>
      <c r="I77" s="13"/>
    </row>
    <row r="78" spans="1:9" ht="18.75" customHeight="1" hidden="1" thickBot="1">
      <c r="A78" s="14" t="s">
        <v>76</v>
      </c>
      <c r="B78" s="61"/>
      <c r="C78" s="53">
        <f>C79+C80</f>
        <v>0</v>
      </c>
      <c r="D78" s="53">
        <f>D79+D80</f>
        <v>0</v>
      </c>
      <c r="E78" s="3">
        <f>D78/D149*100</f>
        <v>0</v>
      </c>
      <c r="F78" s="3" t="e">
        <f>D78/B78*100</f>
        <v>#DIV/0!</v>
      </c>
      <c r="G78" s="3" t="e">
        <f aca="true" t="shared" si="8" ref="G78:G92">D78/C78*100</f>
        <v>#DIV/0!</v>
      </c>
      <c r="H78" s="3">
        <f>B78-D78</f>
        <v>0</v>
      </c>
      <c r="I78" s="3">
        <f aca="true" t="shared" si="9" ref="I78:I92">C78-D78</f>
        <v>0</v>
      </c>
    </row>
    <row r="79" spans="1:9" s="8" customFormat="1" ht="18.75" hidden="1" thickBot="1">
      <c r="A79" s="9" t="s">
        <v>75</v>
      </c>
      <c r="B79" s="71"/>
      <c r="C79" s="50">
        <f>50-50</f>
        <v>0</v>
      </c>
      <c r="D79" s="51"/>
      <c r="E79" s="105"/>
      <c r="F79" s="1" t="e">
        <f>D79/B79*100</f>
        <v>#DIV/0!</v>
      </c>
      <c r="G79" s="1" t="e">
        <f t="shared" si="8"/>
        <v>#DIV/0!</v>
      </c>
      <c r="H79" s="1">
        <f>B79-D79</f>
        <v>0</v>
      </c>
      <c r="I79" s="1">
        <f t="shared" si="9"/>
        <v>0</v>
      </c>
    </row>
    <row r="80" spans="1:9" s="8" customFormat="1" ht="31.5" hidden="1" thickBot="1">
      <c r="A80" s="9" t="s">
        <v>68</v>
      </c>
      <c r="B80" s="71"/>
      <c r="C80" s="50"/>
      <c r="D80" s="51"/>
      <c r="E80" s="105"/>
      <c r="F80" s="1" t="e">
        <f>D80/B80*100</f>
        <v>#DIV/0!</v>
      </c>
      <c r="G80" s="1" t="e">
        <f t="shared" si="8"/>
        <v>#DIV/0!</v>
      </c>
      <c r="H80" s="1">
        <f>B80-D80</f>
        <v>0</v>
      </c>
      <c r="I80" s="1">
        <f t="shared" si="9"/>
        <v>0</v>
      </c>
    </row>
    <row r="81" spans="1:9" s="8" customFormat="1" ht="16.5" customHeight="1" hidden="1">
      <c r="A81" s="9" t="s">
        <v>40</v>
      </c>
      <c r="B81" s="71"/>
      <c r="C81" s="50"/>
      <c r="D81" s="51"/>
      <c r="E81" s="1" t="e">
        <f>D81/D78*100</f>
        <v>#DIV/0!</v>
      </c>
      <c r="F81" s="1"/>
      <c r="G81" s="1" t="e">
        <f t="shared" si="8"/>
        <v>#DIV/0!</v>
      </c>
      <c r="H81" s="1"/>
      <c r="I81" s="1">
        <f t="shared" si="9"/>
        <v>0</v>
      </c>
    </row>
    <row r="82" spans="1:9" s="8" customFormat="1" ht="33" customHeight="1" hidden="1" thickBot="1">
      <c r="A82" s="9" t="s">
        <v>47</v>
      </c>
      <c r="B82" s="71"/>
      <c r="C82" s="50"/>
      <c r="D82" s="50"/>
      <c r="E82" s="1" t="e">
        <f>D82/D78*100</f>
        <v>#DIV/0!</v>
      </c>
      <c r="F82" s="1"/>
      <c r="G82" s="1" t="e">
        <f t="shared" si="8"/>
        <v>#DIV/0!</v>
      </c>
      <c r="H82" s="1"/>
      <c r="I82" s="1">
        <f t="shared" si="9"/>
        <v>0</v>
      </c>
    </row>
    <row r="83" spans="1:9" ht="35.25" customHeight="1" hidden="1" thickBot="1">
      <c r="A83" s="14" t="s">
        <v>42</v>
      </c>
      <c r="B83" s="61"/>
      <c r="C83" s="53">
        <f>C84+C85</f>
        <v>0</v>
      </c>
      <c r="D83" s="53">
        <f>D84+D85</f>
        <v>0</v>
      </c>
      <c r="E83" s="3">
        <f>D83/D149*100</f>
        <v>0</v>
      </c>
      <c r="F83" s="3"/>
      <c r="G83" s="3" t="e">
        <f t="shared" si="8"/>
        <v>#DIV/0!</v>
      </c>
      <c r="H83" s="3"/>
      <c r="I83" s="3">
        <f t="shared" si="9"/>
        <v>0</v>
      </c>
    </row>
    <row r="84" spans="1:9" ht="16.5" customHeight="1" hidden="1">
      <c r="A84" s="29" t="s">
        <v>29</v>
      </c>
      <c r="B84" s="49"/>
      <c r="C84" s="67"/>
      <c r="D84" s="67"/>
      <c r="E84" s="6" t="e">
        <f>D84/D83*100</f>
        <v>#DIV/0!</v>
      </c>
      <c r="F84" s="6"/>
      <c r="G84" s="6" t="e">
        <f t="shared" si="8"/>
        <v>#DIV/0!</v>
      </c>
      <c r="H84" s="6"/>
      <c r="I84" s="1">
        <f t="shared" si="9"/>
        <v>0</v>
      </c>
    </row>
    <row r="85" spans="1:9" ht="16.5" customHeight="1" hidden="1" thickBot="1">
      <c r="A85" s="29" t="s">
        <v>30</v>
      </c>
      <c r="B85" s="49"/>
      <c r="C85" s="67"/>
      <c r="D85" s="67"/>
      <c r="E85" s="6" t="e">
        <f>D85/D83*100</f>
        <v>#DIV/0!</v>
      </c>
      <c r="F85" s="6"/>
      <c r="G85" s="6" t="e">
        <f t="shared" si="8"/>
        <v>#DIV/0!</v>
      </c>
      <c r="H85" s="6"/>
      <c r="I85" s="1">
        <f t="shared" si="9"/>
        <v>0</v>
      </c>
    </row>
    <row r="86" spans="1:9" ht="34.5" customHeight="1" hidden="1" thickBot="1">
      <c r="A86" s="14" t="s">
        <v>43</v>
      </c>
      <c r="B86" s="61"/>
      <c r="C86" s="53">
        <f>SUM(C87:C88)</f>
        <v>0</v>
      </c>
      <c r="D86" s="53">
        <f>SUM(D87:D88)</f>
        <v>0</v>
      </c>
      <c r="E86" s="3">
        <f>D86/D149*100</f>
        <v>0</v>
      </c>
      <c r="F86" s="3"/>
      <c r="G86" s="3" t="e">
        <f t="shared" si="8"/>
        <v>#DIV/0!</v>
      </c>
      <c r="H86" s="3"/>
      <c r="I86" s="3">
        <f t="shared" si="9"/>
        <v>0</v>
      </c>
    </row>
    <row r="87" spans="1:9" ht="17.25" customHeight="1" hidden="1">
      <c r="A87" s="29" t="s">
        <v>29</v>
      </c>
      <c r="B87" s="49"/>
      <c r="C87" s="50"/>
      <c r="D87" s="51"/>
      <c r="E87" s="1" t="e">
        <f>D87/D86*100</f>
        <v>#DIV/0!</v>
      </c>
      <c r="F87" s="1"/>
      <c r="G87" s="1" t="e">
        <f t="shared" si="8"/>
        <v>#DIV/0!</v>
      </c>
      <c r="H87" s="1"/>
      <c r="I87" s="1">
        <f t="shared" si="9"/>
        <v>0</v>
      </c>
    </row>
    <row r="88" spans="1:9" ht="17.25" customHeight="1" hidden="1" thickBot="1">
      <c r="A88" s="29" t="s">
        <v>30</v>
      </c>
      <c r="B88" s="49"/>
      <c r="C88" s="50"/>
      <c r="D88" s="51"/>
      <c r="E88" s="1" t="e">
        <f>D88/D86*100</f>
        <v>#DIV/0!</v>
      </c>
      <c r="F88" s="1"/>
      <c r="G88" s="1" t="e">
        <f t="shared" si="8"/>
        <v>#DIV/0!</v>
      </c>
      <c r="H88" s="1"/>
      <c r="I88" s="1">
        <f t="shared" si="9"/>
        <v>0</v>
      </c>
    </row>
    <row r="89" spans="1:9" ht="19.5" thickBot="1">
      <c r="A89" s="14" t="s">
        <v>10</v>
      </c>
      <c r="B89" s="61">
        <f>41478.3+26.4</f>
        <v>41504.700000000004</v>
      </c>
      <c r="C89" s="53">
        <f>47925.9+539.6+110+168.6+27+1682.4+76+79.6</f>
        <v>50609.1</v>
      </c>
      <c r="D89" s="54">
        <f>1173.8+37.3+101.8+9.7+15.1+2.5+6.1+25.2+161.9+1262.3+173.1+14.9+67.5+0.1+74.5+11.5+2+20+14.7+81.5+461.2+565+206.1+3.2+46+0.8+6.5+50.6+455+1286.2+183.8+1.4+2.9+4.4+5+70+1+29.9+1080.9+235.9+65.5+15.2+11.7+17.8+127.4+5.9+235.8+346.5+449.1+1232.7+152.1+18.3-0.1+74.1+126.4+78.5+135.2+24.8+185.4+336.2+271.3+833.9+12.9+76.3+32.5+2.3+24.2+2+23.7+1.7+1736.3+422.6+102.3+0.1+79.9+12.7+384.6+272+560.3+6.6+23.5+71.3+3.1+55.7+12.1+9.9+24.6+1303.7+813.1+11.6+0.3+74.3+27.7+86+28.9+58.7+133.8+815+170.1+337.9+7+277+5.2+80.3+19.2+7.4+16.9+0.9+357.9+1273.6+494.4+32.3-0.2+18.3+264.8+18.3+95.4+35+79.5+16.1+218.6+977.7+186.6+34.9+31.2+22.2+25.9+58.1+9+8.4+986.9+517+364.4+2.9+0.1-0.2+181.2+104.5+116.1+28.1+45.5+8.6+854.5+206.9+164.5+41.5+8.6+9.7+28.6+17.2+38.8-3+188.6+1377.8+500.9+45.9+16.6+59.9+26.5+47.5+9.6+17.3+12.8+35.7+292.1+517+374.6+18.8+26.8+24.9+1.7+23.7+11.7+34.5+136.8+208.3+1414.5+459.5+20.3+21.1+147.5+7.7+49.4+27.6+1214.4+13.9</f>
        <v>36289.49999999999</v>
      </c>
      <c r="E89" s="3">
        <f>D89/D149*100</f>
        <v>4.978449922195523</v>
      </c>
      <c r="F89" s="3">
        <f aca="true" t="shared" si="10" ref="F89:F95">D89/B89*100</f>
        <v>87.43467607283027</v>
      </c>
      <c r="G89" s="3">
        <f t="shared" si="8"/>
        <v>71.70548379639233</v>
      </c>
      <c r="H89" s="3">
        <f aca="true" t="shared" si="11" ref="H89:H95">B89-D89</f>
        <v>5215.200000000012</v>
      </c>
      <c r="I89" s="3">
        <f t="shared" si="9"/>
        <v>14319.600000000006</v>
      </c>
    </row>
    <row r="90" spans="1:9" ht="18">
      <c r="A90" s="29" t="s">
        <v>3</v>
      </c>
      <c r="B90" s="49">
        <f>34163.2+26.4</f>
        <v>34189.6</v>
      </c>
      <c r="C90" s="50">
        <f>39638+1682.4+79.6</f>
        <v>41400</v>
      </c>
      <c r="D90" s="51">
        <f>1167.3+36.1+0.8+0.4+161.9+1233.6+154.1+3-0.1+4.3+0.5+8.4+3.9+81.5+433.3+525.7+205+5.2+9.3+444.2+1273.5+170.1+45.1+1046.6+229.9+0.1+3.7+172.5+333.2+439.7+1159+4.9+64+21.3+13.4+112.1+148.4+247.6+806.2+6.7+4.6+6.9+1720.2+419.3+0.1+72.1+370.4+270.6+554.6+17+6.3+54.5+1180.5+765.4-0.1+74.3+0.2+12.7+11.6+58.4+89.3+743.1+91.1+294.4+70.5+19.1+279.2+1235.5+481.1+0.1+12.2+242.6+18.3+3.7+36.4+185.9+977.6+184.1+12.7+18.8+25.9+33.9+945.4+490.4+353.4+181.2+29+67.4+822.4+187.6+118.7+2.5+5.8+7.6+14+188.6+1373.3+482.7+43.6+19.9+12.4+9.3+35.7+222.6+511.4+336.6+1.9+3.7+2.2+8.7+129.2+197+1405.1+435.6+34.4+13+1199.9</f>
        <v>31323.700000000008</v>
      </c>
      <c r="E90" s="1">
        <f>D90/D89*100</f>
        <v>86.31615205500218</v>
      </c>
      <c r="F90" s="1">
        <f t="shared" si="10"/>
        <v>91.61762641271032</v>
      </c>
      <c r="G90" s="1">
        <f t="shared" si="8"/>
        <v>75.66111111111114</v>
      </c>
      <c r="H90" s="1">
        <f t="shared" si="11"/>
        <v>2865.8999999999905</v>
      </c>
      <c r="I90" s="1">
        <f t="shared" si="9"/>
        <v>10076.299999999992</v>
      </c>
    </row>
    <row r="91" spans="1:9" ht="18">
      <c r="A91" s="29" t="s">
        <v>32</v>
      </c>
      <c r="B91" s="49">
        <v>1739.2</v>
      </c>
      <c r="C91" s="50">
        <f>2406.5+168.6</f>
        <v>2575.1</v>
      </c>
      <c r="D91" s="51">
        <f>15.4+0.6+1.6+3.7+2.5+4.3+0.4+4.2+0.8+56.6+102.4+16.1+0.1+47.1+38.8+64+59.3+87.7+34.7+0.6+1.8+42.3+4.4+28.7+17.2+4.1-0.1+9.5+0.7+0.1+0.5+30+263.7+3+9.9+2.9+6.4+6.5+8.4+8+5.1+0.6+0.6+8.3+8.1+3+8+23.5+5.5+3.2+0.6+1.7+18.5+6.6+6.5+0.3+4.7+4.8+1.2+5.7+5.6+5.1+3+4.4</f>
        <v>1123.4999999999998</v>
      </c>
      <c r="E91" s="1">
        <f>D91/D89*100</f>
        <v>3.095936841235068</v>
      </c>
      <c r="F91" s="1">
        <f t="shared" si="10"/>
        <v>64.59866605335786</v>
      </c>
      <c r="G91" s="1">
        <f t="shared" si="8"/>
        <v>43.629373616558574</v>
      </c>
      <c r="H91" s="1">
        <f t="shared" si="11"/>
        <v>615.7000000000003</v>
      </c>
      <c r="I91" s="1">
        <f t="shared" si="9"/>
        <v>1451.6000000000001</v>
      </c>
    </row>
    <row r="92" spans="1:9" ht="18" hidden="1">
      <c r="A92" s="29" t="s">
        <v>15</v>
      </c>
      <c r="B92" s="49"/>
      <c r="C92" s="50"/>
      <c r="D92" s="50"/>
      <c r="E92" s="12">
        <f>D92/D89*100</f>
        <v>0</v>
      </c>
      <c r="F92" s="1"/>
      <c r="G92" s="1" t="e">
        <f t="shared" si="8"/>
        <v>#DIV/0!</v>
      </c>
      <c r="H92" s="1">
        <f t="shared" si="11"/>
        <v>0</v>
      </c>
      <c r="I92" s="1">
        <f t="shared" si="9"/>
        <v>0</v>
      </c>
    </row>
    <row r="93" spans="1:9" ht="18.75" thickBot="1">
      <c r="A93" s="29" t="s">
        <v>34</v>
      </c>
      <c r="B93" s="50">
        <f>B89-B90-B91-B92</f>
        <v>5575.900000000006</v>
      </c>
      <c r="C93" s="50">
        <f>C89-C90-C91-C92</f>
        <v>6633.999999999998</v>
      </c>
      <c r="D93" s="50">
        <f>D89-D90-D91-D92</f>
        <v>3842.2999999999847</v>
      </c>
      <c r="E93" s="1">
        <f>D93/D89*100</f>
        <v>10.587911103762757</v>
      </c>
      <c r="F93" s="1">
        <f t="shared" si="10"/>
        <v>68.90905504044156</v>
      </c>
      <c r="G93" s="1">
        <f>D93/C93*100</f>
        <v>57.91829966837483</v>
      </c>
      <c r="H93" s="1">
        <f t="shared" si="11"/>
        <v>1733.6000000000213</v>
      </c>
      <c r="I93" s="1">
        <f>C93-D93</f>
        <v>2791.7000000000135</v>
      </c>
    </row>
    <row r="94" spans="1:9" ht="18.75">
      <c r="A94" s="121" t="s">
        <v>12</v>
      </c>
      <c r="B94" s="126">
        <f>46711.7+2819.7</f>
        <v>49531.399999999994</v>
      </c>
      <c r="C94" s="128">
        <f>48638.3+1900-424+424+830+1679.1+0.1+2819.7</f>
        <v>55867.2</v>
      </c>
      <c r="D94" s="127">
        <f>3479.6+8.1+4.1+53.2+1101.8+1997.1+228.6+3048.1+0.1+314.6+1021.4+1907+2.5+299.7+94.1+2183.5+8+2623.6+342.3+2.2+8.5+1.3+1.6+10.6+34.2+57.7+70.3+17.2+208.3+74.7+207.6+2728.6+200.9+23.9+266.8+7.4+4.8+52.9+119.5+63.8+2594.9+200.2+13+112.1+15.7+7.1+24.4+5.9+58.8+58.7+72.9+1005+1411.4+197.5+100.5+447.9+220.2+131.1+62+105.3+20.8+138.1+75.9+1121.6+56+16.5+0.2+3000.2+166.1+4.9+20.3+18.9+136+4.8+19.5+13.2+214.1+57+80.4+3267.6+252.8+113.4+193.1+572.2+14+56.5+0.5+203.5+85+882.3+2912.4+250.5+1023.3+34.9+24+325.8</f>
        <v>45101.10000000002</v>
      </c>
      <c r="E94" s="120">
        <f>D94/D149*100</f>
        <v>6.1872874463944845</v>
      </c>
      <c r="F94" s="124">
        <f t="shared" si="10"/>
        <v>91.05557282854922</v>
      </c>
      <c r="G94" s="119">
        <f>D94/C94*100</f>
        <v>80.72912191769056</v>
      </c>
      <c r="H94" s="125">
        <f t="shared" si="11"/>
        <v>4430.299999999974</v>
      </c>
      <c r="I94" s="120">
        <f>C94-D94</f>
        <v>10766.099999999977</v>
      </c>
    </row>
    <row r="95" spans="1:9" ht="18.75" thickBot="1">
      <c r="A95" s="122" t="s">
        <v>107</v>
      </c>
      <c r="B95" s="129">
        <v>4061</v>
      </c>
      <c r="C95" s="130">
        <f>4853.7+35</f>
        <v>4888.7</v>
      </c>
      <c r="D95" s="131">
        <f>600+69+9+48.5+2.5+299.7+50.5+190.4+1.3+10.6+6.7+53.3-0.1+0.9+266.8+7.4+4.8+52.9+0.1+200.2+15.7+7.1+5.9+55+13+150.2+100.5+23.9+52.6+56+166.1+18.9+16.3+57+182.9+5.3+14+56.5+0.5+15+250.5+29.4</f>
        <v>3166.8000000000006</v>
      </c>
      <c r="E95" s="132">
        <f>D95/D94*100</f>
        <v>7.021558232504304</v>
      </c>
      <c r="F95" s="133">
        <f t="shared" si="10"/>
        <v>77.98079290815072</v>
      </c>
      <c r="G95" s="134">
        <f>D95/C95*100</f>
        <v>64.77795733016958</v>
      </c>
      <c r="H95" s="123">
        <f t="shared" si="11"/>
        <v>894.1999999999994</v>
      </c>
      <c r="I95" s="96">
        <f>C95-D95</f>
        <v>1721.8999999999992</v>
      </c>
    </row>
    <row r="96" spans="1:9" ht="8.25" customHeight="1" thickBot="1">
      <c r="A96" s="23"/>
      <c r="B96" s="58"/>
      <c r="C96" s="67"/>
      <c r="D96" s="68"/>
      <c r="E96" s="6"/>
      <c r="F96" s="6"/>
      <c r="G96" s="6"/>
      <c r="H96" s="6"/>
      <c r="I96" s="6"/>
    </row>
    <row r="97" spans="1:9" ht="19.5" hidden="1" thickBot="1">
      <c r="A97" s="33" t="s">
        <v>45</v>
      </c>
      <c r="B97" s="75"/>
      <c r="C97" s="76"/>
      <c r="D97" s="77"/>
      <c r="E97" s="3">
        <f>D97/D149*100</f>
        <v>0</v>
      </c>
      <c r="F97" s="3"/>
      <c r="G97" s="3" t="e">
        <f>D97/C97*100</f>
        <v>#DIV/0!</v>
      </c>
      <c r="H97" s="3"/>
      <c r="I97" s="3">
        <f>C97-D97</f>
        <v>0</v>
      </c>
    </row>
    <row r="98" spans="1:9" ht="5.25" customHeight="1" hidden="1" thickBot="1">
      <c r="A98" s="32"/>
      <c r="B98" s="72"/>
      <c r="C98" s="73"/>
      <c r="D98" s="74"/>
      <c r="E98" s="15"/>
      <c r="F98" s="6"/>
      <c r="G98" s="6"/>
      <c r="H98" s="6"/>
      <c r="I98" s="13"/>
    </row>
    <row r="99" spans="1:9" s="16" customFormat="1" ht="36" customHeight="1" hidden="1" thickBot="1">
      <c r="A99" s="14" t="s">
        <v>65</v>
      </c>
      <c r="B99" s="61"/>
      <c r="C99" s="53"/>
      <c r="D99" s="54"/>
      <c r="E99" s="3">
        <f>D99/D149*100</f>
        <v>0</v>
      </c>
      <c r="F99" s="3" t="e">
        <f>D99/B99*100</f>
        <v>#DIV/0!</v>
      </c>
      <c r="G99" s="3" t="e">
        <f>D99/C99*100</f>
        <v>#DIV/0!</v>
      </c>
      <c r="H99" s="3">
        <f>B99-D99</f>
        <v>0</v>
      </c>
      <c r="I99" s="3">
        <f>C99-D99</f>
        <v>0</v>
      </c>
    </row>
    <row r="100" spans="1:9" ht="6.75" customHeight="1" hidden="1" thickBot="1">
      <c r="A100" s="113"/>
      <c r="B100" s="114"/>
      <c r="C100" s="73"/>
      <c r="D100" s="74"/>
      <c r="E100" s="15"/>
      <c r="F100" s="6"/>
      <c r="G100" s="6"/>
      <c r="H100" s="6"/>
      <c r="I100" s="13"/>
    </row>
    <row r="101" spans="1:9" s="44" customFormat="1" ht="19.5" thickBot="1">
      <c r="A101" s="14" t="s">
        <v>11</v>
      </c>
      <c r="B101" s="61">
        <f>8275.8+7.5</f>
        <v>8283.3</v>
      </c>
      <c r="C101" s="104">
        <f>6061.2+4589.8-16.4-3.1+0.1-234+3.8-54.3+7.5</f>
        <v>10354.6</v>
      </c>
      <c r="D101" s="90">
        <f>110.5+80.7+66.2+55.7+33+106.8+21.7+2.2+3.9+0.4+5.9+27.7+127.6+1.1+13.8+50.2+3.3+23.2+111+21.4+3.2+5.8+132.8+36.6+20.9+0.1+13.6+84.8+20.8+33.6+130.7+63.1+21.1+62.1+181.2+8.2+6+105.4+20.4+101.6+1.7+242.6+23+30.4-0.1+80.9+25.5+113.7+80.5+28.5+103.6+8.6+2.8+40.3+26.6+27.8+148.5+16.2+40.1+119.9+41.5+76.2+82.4+0.3+42.7+6.8+250.5+30.4+0.2+38.3+2+108.6+17.1+106.1+19.2+26.8+151.107+0.7+29.3+117.3+610+63.6+8+126.1+217.2+122.6+4.1+0.1+180.3+33.8+4</f>
        <v>5596.707000000001</v>
      </c>
      <c r="E101" s="25">
        <f>D101/D149*100</f>
        <v>0.7677957957178013</v>
      </c>
      <c r="F101" s="25">
        <f>D101/B101*100</f>
        <v>67.56615117163452</v>
      </c>
      <c r="G101" s="25">
        <f aca="true" t="shared" si="12" ref="G101:G147">D101/C101*100</f>
        <v>54.050441349738286</v>
      </c>
      <c r="H101" s="25">
        <f aca="true" t="shared" si="13" ref="H101:H106">B101-D101</f>
        <v>2686.592999999998</v>
      </c>
      <c r="I101" s="25">
        <f aca="true" t="shared" si="14" ref="I101:I147">C101-D101</f>
        <v>4757.892999999999</v>
      </c>
    </row>
    <row r="102" spans="1:9" ht="18" hidden="1">
      <c r="A102" s="91" t="s">
        <v>63</v>
      </c>
      <c r="B102" s="101"/>
      <c r="C102" s="99"/>
      <c r="D102" s="99"/>
      <c r="E102" s="95">
        <f>D102/D101*100</f>
        <v>0</v>
      </c>
      <c r="F102" s="116" t="e">
        <f>D102/B102*100</f>
        <v>#DIV/0!</v>
      </c>
      <c r="G102" s="95" t="e">
        <f>D102/C102*100</f>
        <v>#DIV/0!</v>
      </c>
      <c r="H102" s="95">
        <f t="shared" si="13"/>
        <v>0</v>
      </c>
      <c r="I102" s="95">
        <f t="shared" si="14"/>
        <v>0</v>
      </c>
    </row>
    <row r="103" spans="1:9" ht="18">
      <c r="A103" s="97" t="s">
        <v>62</v>
      </c>
      <c r="B103" s="81">
        <f>7442.7+7.5</f>
        <v>7450.2</v>
      </c>
      <c r="C103" s="51">
        <f>5036.9+4586-16.4-3.1+0.1-234-4.8-54.3+7.5</f>
        <v>9317.900000000001</v>
      </c>
      <c r="D103" s="51">
        <f>110.3+80.7+66.2+32.9+19.7+106.6+21.7+3.9+5.8+27.6+127.6+1.1+0.1+13.7+10.7+3.3+110.8+21.4+3.1+2+132.8+20.9+0.1+78+20.6+33.3+130.5+62.7+21+24.6+165.3+8.1+5.9+105.3+20.3+100.8+1.7+215.8+10+30.4+80.1+25.4+112.7+79.8+28.5+103.5+8.5+2.8+39.9+26.4+148.5-0.1+39.8+119.7+41.2+75.7+81.9+0.3+4+6.7+241.8+30.4+0.1+37.9+107.8+17+106+26.6+127.1+116.9+610+63.4+7.8+125.9+217+81.4+28.9+180.1+33.6+3.9</f>
        <v>5146.2</v>
      </c>
      <c r="E103" s="1">
        <f>D103/D101*100</f>
        <v>91.95049874863913</v>
      </c>
      <c r="F103" s="1">
        <f aca="true" t="shared" si="15" ref="F103:F147">D103/B103*100</f>
        <v>69.07465571394057</v>
      </c>
      <c r="G103" s="1">
        <f t="shared" si="12"/>
        <v>55.229182541130506</v>
      </c>
      <c r="H103" s="1">
        <f t="shared" si="13"/>
        <v>2304</v>
      </c>
      <c r="I103" s="1">
        <f t="shared" si="14"/>
        <v>4171.700000000002</v>
      </c>
    </row>
    <row r="104" spans="1:9" ht="54.75" hidden="1" thickBot="1">
      <c r="A104" s="98" t="s">
        <v>100</v>
      </c>
      <c r="B104" s="100"/>
      <c r="C104" s="100"/>
      <c r="D104" s="100"/>
      <c r="E104" s="96">
        <f>D104/D101*100</f>
        <v>0</v>
      </c>
      <c r="F104" s="96" t="e">
        <f>D104/B104*100</f>
        <v>#DIV/0!</v>
      </c>
      <c r="G104" s="96" t="e">
        <f>D104/C104*100</f>
        <v>#DIV/0!</v>
      </c>
      <c r="H104" s="96">
        <f t="shared" si="13"/>
        <v>0</v>
      </c>
      <c r="I104" s="96">
        <f>C104-D104</f>
        <v>0</v>
      </c>
    </row>
    <row r="105" spans="1:9" ht="18.75" thickBot="1">
      <c r="A105" s="98" t="s">
        <v>34</v>
      </c>
      <c r="B105" s="100">
        <f>B101-B102-B103</f>
        <v>833.0999999999995</v>
      </c>
      <c r="C105" s="100">
        <f>C101-C102-C103</f>
        <v>1036.699999999999</v>
      </c>
      <c r="D105" s="100">
        <f>D101-D102-D103</f>
        <v>450.5070000000014</v>
      </c>
      <c r="E105" s="96">
        <f>D105/D101*100</f>
        <v>8.04950125136087</v>
      </c>
      <c r="F105" s="96">
        <f t="shared" si="15"/>
        <v>54.07598127475713</v>
      </c>
      <c r="G105" s="96">
        <f t="shared" si="12"/>
        <v>43.45586958618712</v>
      </c>
      <c r="H105" s="96">
        <f>B105-D105</f>
        <v>382.592999999998</v>
      </c>
      <c r="I105" s="96">
        <f t="shared" si="14"/>
        <v>586.1929999999975</v>
      </c>
    </row>
    <row r="106" spans="1:9" s="2" customFormat="1" ht="26.25" customHeight="1" thickBot="1">
      <c r="A106" s="92" t="s">
        <v>35</v>
      </c>
      <c r="B106" s="93">
        <f>SUM(B107:B146)-B114-B118+B147-B138-B139-B108-B111-B121-B122-B136-B130-B128</f>
        <v>169651.69999999998</v>
      </c>
      <c r="C106" s="93">
        <f>SUM(C107:C146)-C114-C118+C147-C138-C139-C108-C111-C121-C122-C136-C130-C128</f>
        <v>186793.5</v>
      </c>
      <c r="D106" s="93">
        <f>SUM(D107:D146)-D114-D118+D147-D138-D139-D108-D111-D121-D122-D136-D130-D128</f>
        <v>148427.29999999996</v>
      </c>
      <c r="E106" s="94">
        <f>D106/D149*100</f>
        <v>20.362305353799073</v>
      </c>
      <c r="F106" s="94">
        <f>D106/B106*100</f>
        <v>87.48942686692793</v>
      </c>
      <c r="G106" s="94">
        <f t="shared" si="12"/>
        <v>79.46063433684789</v>
      </c>
      <c r="H106" s="94">
        <f t="shared" si="13"/>
        <v>21224.400000000023</v>
      </c>
      <c r="I106" s="94">
        <f t="shared" si="14"/>
        <v>38366.20000000004</v>
      </c>
    </row>
    <row r="107" spans="1:9" ht="37.5">
      <c r="A107" s="34" t="s">
        <v>66</v>
      </c>
      <c r="B107" s="78">
        <f>1452.1+161.4</f>
        <v>1613.5</v>
      </c>
      <c r="C107" s="74">
        <f>1662.5+137.3+161.4</f>
        <v>1961.2</v>
      </c>
      <c r="D107" s="79">
        <f>114.2+9+1.8-0.1+90.7+22.4+38.1+76.9+3.3+8.3+1.4+33.8+39+2.5+0.1+67.3+0.2+4+0.9+2.5+0.8+0.4+3.1+0.1+83.9+1.4+0.8+11.2+0.6+1.6+3.2+0.1+20.5+2.5+1.1+0.8+0.1+0.1+0.2+0.1+43.5+0.8+2.1+1+2.3+4.8+1.1+19.9+17.5+6.9+7.9+1.5+3.6+0.8+4.6+16.1+34.2+1.8+6.2+1.2+32.1+5.5+0.2+27.7+11+1.7+3.9</f>
        <v>908.8000000000003</v>
      </c>
      <c r="E107" s="6">
        <f>D107/D106*100</f>
        <v>0.612286284261723</v>
      </c>
      <c r="F107" s="6">
        <f t="shared" si="15"/>
        <v>56.32475983885964</v>
      </c>
      <c r="G107" s="6">
        <f t="shared" si="12"/>
        <v>46.33897613705896</v>
      </c>
      <c r="H107" s="6">
        <f aca="true" t="shared" si="16" ref="H107:H147">B107-D107</f>
        <v>704.6999999999997</v>
      </c>
      <c r="I107" s="6">
        <f t="shared" si="14"/>
        <v>1052.3999999999996</v>
      </c>
    </row>
    <row r="108" spans="1:9" ht="18">
      <c r="A108" s="29" t="s">
        <v>32</v>
      </c>
      <c r="B108" s="81">
        <v>590.9</v>
      </c>
      <c r="C108" s="51">
        <v>823.7</v>
      </c>
      <c r="D108" s="82">
        <f>96.8+90.7+64.1+48.5+58.1+15.9+13.5+19.9+29.9+6.9+7.8</f>
        <v>452.09999999999997</v>
      </c>
      <c r="E108" s="1"/>
      <c r="F108" s="1">
        <f t="shared" si="15"/>
        <v>76.5104078524285</v>
      </c>
      <c r="G108" s="1">
        <f t="shared" si="12"/>
        <v>54.88648779895592</v>
      </c>
      <c r="H108" s="1">
        <f t="shared" si="16"/>
        <v>138.8</v>
      </c>
      <c r="I108" s="1">
        <f t="shared" si="14"/>
        <v>371.6000000000001</v>
      </c>
    </row>
    <row r="109" spans="1:9" ht="34.5" customHeight="1">
      <c r="A109" s="17" t="s">
        <v>99</v>
      </c>
      <c r="B109" s="80">
        <v>775.4</v>
      </c>
      <c r="C109" s="68">
        <v>903.8</v>
      </c>
      <c r="D109" s="79">
        <f>20.7+31.6+0.1+27.7-0.1+31.4+0.1+10.6+34.1+43.9+13.6+28.6+61.2+100.4+0.1+35.1</f>
        <v>439.1</v>
      </c>
      <c r="E109" s="6">
        <f>D109/D106*100</f>
        <v>0.2958350653821771</v>
      </c>
      <c r="F109" s="6">
        <f>D109/B109*100</f>
        <v>56.62883672942998</v>
      </c>
      <c r="G109" s="6">
        <f t="shared" si="12"/>
        <v>48.58375746846648</v>
      </c>
      <c r="H109" s="6">
        <f t="shared" si="16"/>
        <v>336.29999999999995</v>
      </c>
      <c r="I109" s="6">
        <f t="shared" si="14"/>
        <v>464.69999999999993</v>
      </c>
    </row>
    <row r="110" spans="1:9" s="44" customFormat="1" ht="34.5" customHeight="1">
      <c r="A110" s="17" t="s">
        <v>74</v>
      </c>
      <c r="B110" s="80">
        <v>74.3</v>
      </c>
      <c r="C110" s="60">
        <f>71.8+12.8</f>
        <v>84.6</v>
      </c>
      <c r="D110" s="83">
        <f>5.3+5.3+0.5+1.7+6+6+6</f>
        <v>30.799999999999997</v>
      </c>
      <c r="E110" s="6">
        <f>D110/D106*100</f>
        <v>0.02075089959865874</v>
      </c>
      <c r="F110" s="6">
        <f t="shared" si="15"/>
        <v>41.453566621803496</v>
      </c>
      <c r="G110" s="6">
        <f t="shared" si="12"/>
        <v>36.406619385342786</v>
      </c>
      <c r="H110" s="6">
        <f t="shared" si="16"/>
        <v>43.5</v>
      </c>
      <c r="I110" s="6">
        <f t="shared" si="14"/>
        <v>53.8</v>
      </c>
    </row>
    <row r="111" spans="1:9" ht="18" hidden="1">
      <c r="A111" s="29" t="s">
        <v>32</v>
      </c>
      <c r="B111" s="81"/>
      <c r="C111" s="51"/>
      <c r="D111" s="82"/>
      <c r="E111" s="1"/>
      <c r="F111" s="1" t="e">
        <f t="shared" si="15"/>
        <v>#DIV/0!</v>
      </c>
      <c r="G111" s="1" t="e">
        <f t="shared" si="12"/>
        <v>#DIV/0!</v>
      </c>
      <c r="H111" s="1">
        <f t="shared" si="16"/>
        <v>0</v>
      </c>
      <c r="I111" s="1">
        <f t="shared" si="14"/>
        <v>0</v>
      </c>
    </row>
    <row r="112" spans="1:9" ht="37.5">
      <c r="A112" s="17" t="s">
        <v>73</v>
      </c>
      <c r="B112" s="80">
        <v>56.2</v>
      </c>
      <c r="C112" s="68">
        <v>67.4</v>
      </c>
      <c r="D112" s="79">
        <f>5.5+5.4+5.5+5.5+5.5+5.5-0.1+2.7+0.1+2.7+5.5+5.5</f>
        <v>49.300000000000004</v>
      </c>
      <c r="E112" s="6">
        <f>D112/D106*100</f>
        <v>0.03321491396798299</v>
      </c>
      <c r="F112" s="6">
        <f t="shared" si="15"/>
        <v>87.72241992882563</v>
      </c>
      <c r="G112" s="6">
        <f t="shared" si="12"/>
        <v>73.1454005934718</v>
      </c>
      <c r="H112" s="6">
        <f t="shared" si="16"/>
        <v>6.899999999999999</v>
      </c>
      <c r="I112" s="6">
        <f t="shared" si="14"/>
        <v>18.1</v>
      </c>
    </row>
    <row r="113" spans="1:9" ht="37.5">
      <c r="A113" s="17" t="s">
        <v>46</v>
      </c>
      <c r="B113" s="80">
        <v>1262.9</v>
      </c>
      <c r="C113" s="68">
        <v>1532.5</v>
      </c>
      <c r="D113" s="79">
        <f>96.4+0.6+6.3+86+10.4+21.5+5.3+0.1+11.6+102.1+10.6+3.5+5.6+100.7+13.3+0.9+3.6+96.9-0.1+15.7+1.7+1+96.8+0.1+4+1+0.2+1.2+96.6+0.3-0.1+8.6+0.3+99+5.6+0.2+90.6+4.7+0.3</f>
        <v>1003.1000000000003</v>
      </c>
      <c r="E113" s="6">
        <f>D113/D106*100</f>
        <v>0.6758190710199542</v>
      </c>
      <c r="F113" s="6">
        <f t="shared" si="15"/>
        <v>79.42829994457203</v>
      </c>
      <c r="G113" s="6">
        <f t="shared" si="12"/>
        <v>65.45513866231649</v>
      </c>
      <c r="H113" s="6">
        <f t="shared" si="16"/>
        <v>259.79999999999984</v>
      </c>
      <c r="I113" s="6">
        <f t="shared" si="14"/>
        <v>529.3999999999997</v>
      </c>
    </row>
    <row r="114" spans="1:9" ht="18" hidden="1">
      <c r="A114" s="40" t="s">
        <v>53</v>
      </c>
      <c r="B114" s="81"/>
      <c r="C114" s="51"/>
      <c r="D114" s="82"/>
      <c r="E114" s="6"/>
      <c r="F114" s="6" t="e">
        <f t="shared" si="15"/>
        <v>#DIV/0!</v>
      </c>
      <c r="G114" s="1" t="e">
        <f t="shared" si="12"/>
        <v>#DIV/0!</v>
      </c>
      <c r="H114" s="1">
        <f t="shared" si="16"/>
        <v>0</v>
      </c>
      <c r="I114" s="1">
        <f t="shared" si="14"/>
        <v>0</v>
      </c>
    </row>
    <row r="115" spans="1:9" s="44" customFormat="1" ht="18.75" customHeight="1">
      <c r="A115" s="17" t="s">
        <v>59</v>
      </c>
      <c r="B115" s="80">
        <v>36</v>
      </c>
      <c r="C115" s="60">
        <v>36</v>
      </c>
      <c r="D115" s="83">
        <v>36</v>
      </c>
      <c r="E115" s="19">
        <f>D115/D106*100</f>
        <v>0.024254298232198532</v>
      </c>
      <c r="F115" s="6">
        <f t="shared" si="15"/>
        <v>100</v>
      </c>
      <c r="G115" s="19">
        <f t="shared" si="12"/>
        <v>100</v>
      </c>
      <c r="H115" s="19">
        <f t="shared" si="16"/>
        <v>0</v>
      </c>
      <c r="I115" s="19">
        <f t="shared" si="14"/>
        <v>0</v>
      </c>
    </row>
    <row r="116" spans="1:9" ht="37.5">
      <c r="A116" s="17" t="s">
        <v>58</v>
      </c>
      <c r="B116" s="80">
        <v>245.2</v>
      </c>
      <c r="C116" s="68">
        <v>245.2</v>
      </c>
      <c r="D116" s="79">
        <f>19.1+40+15+2.5</f>
        <v>76.6</v>
      </c>
      <c r="E116" s="6">
        <f>D116/D106*100</f>
        <v>0.051607756794066866</v>
      </c>
      <c r="F116" s="6">
        <f>D116/B116*100</f>
        <v>31.23980424143556</v>
      </c>
      <c r="G116" s="6">
        <f t="shared" si="12"/>
        <v>31.23980424143556</v>
      </c>
      <c r="H116" s="6">
        <f t="shared" si="16"/>
        <v>168.6</v>
      </c>
      <c r="I116" s="6">
        <f t="shared" si="14"/>
        <v>168.6</v>
      </c>
    </row>
    <row r="117" spans="1:9" s="2" customFormat="1" ht="18.75">
      <c r="A117" s="17" t="s">
        <v>16</v>
      </c>
      <c r="B117" s="80">
        <v>197.2</v>
      </c>
      <c r="C117" s="60">
        <f>199.6+4.8+37.1</f>
        <v>241.5</v>
      </c>
      <c r="D117" s="79">
        <f>1.6+18.3+17.8+0.8+2.2+4+0.6+16.7+3.7+3.6+16.7+3.4+1.3+16.7+2.9+0.8+16.7+0.1+0.8+1.3+16.7+3.7+1.1+1.1+3.7+16.7+0.8+3+0.3</f>
        <v>177.1</v>
      </c>
      <c r="E117" s="6">
        <f>D117/D106*100</f>
        <v>0.11931767269228775</v>
      </c>
      <c r="F117" s="6">
        <f t="shared" si="15"/>
        <v>89.80730223123733</v>
      </c>
      <c r="G117" s="6">
        <f t="shared" si="12"/>
        <v>73.33333333333333</v>
      </c>
      <c r="H117" s="6">
        <f t="shared" si="16"/>
        <v>20.099999999999994</v>
      </c>
      <c r="I117" s="6">
        <f t="shared" si="14"/>
        <v>64.4</v>
      </c>
    </row>
    <row r="118" spans="1:9" s="39" customFormat="1" ht="18">
      <c r="A118" s="40" t="s">
        <v>53</v>
      </c>
      <c r="B118" s="81">
        <v>150.4</v>
      </c>
      <c r="C118" s="51">
        <f>150.8+37.1</f>
        <v>187.9</v>
      </c>
      <c r="D118" s="82">
        <f>16.7+16.7+16.7+16.7+16.7+16.7+16.7+16.7</f>
        <v>133.6</v>
      </c>
      <c r="E118" s="1"/>
      <c r="F118" s="1">
        <f t="shared" si="15"/>
        <v>88.82978723404254</v>
      </c>
      <c r="G118" s="1">
        <f t="shared" si="12"/>
        <v>71.1016498137307</v>
      </c>
      <c r="H118" s="1">
        <f t="shared" si="16"/>
        <v>16.80000000000001</v>
      </c>
      <c r="I118" s="1">
        <f t="shared" si="14"/>
        <v>54.30000000000001</v>
      </c>
    </row>
    <row r="119" spans="1:9" s="2" customFormat="1" ht="18.75">
      <c r="A119" s="17" t="s">
        <v>25</v>
      </c>
      <c r="B119" s="80">
        <v>1718.4</v>
      </c>
      <c r="C119" s="60">
        <f>1468.8+249.6</f>
        <v>1718.3999999999999</v>
      </c>
      <c r="D119" s="79">
        <f>249.6+108.7+40+50</f>
        <v>448.3</v>
      </c>
      <c r="E119" s="6">
        <f>D119/D106*100</f>
        <v>0.3020333860415167</v>
      </c>
      <c r="F119" s="6">
        <f t="shared" si="15"/>
        <v>26.088221601489757</v>
      </c>
      <c r="G119" s="6">
        <f t="shared" si="12"/>
        <v>26.088221601489757</v>
      </c>
      <c r="H119" s="6">
        <f t="shared" si="16"/>
        <v>1270.1000000000001</v>
      </c>
      <c r="I119" s="6">
        <f t="shared" si="14"/>
        <v>1270.1</v>
      </c>
    </row>
    <row r="120" spans="1:9" s="2" customFormat="1" ht="21.75" customHeight="1">
      <c r="A120" s="17" t="s">
        <v>44</v>
      </c>
      <c r="B120" s="80">
        <f>1209-117</f>
        <v>1092</v>
      </c>
      <c r="C120" s="60">
        <f>628+70+553-88+88</f>
        <v>1251</v>
      </c>
      <c r="D120" s="83">
        <f>110.6+553+71.8+70.5</f>
        <v>805.9</v>
      </c>
      <c r="E120" s="19">
        <f>D120/D106*100</f>
        <v>0.5429594151480222</v>
      </c>
      <c r="F120" s="6">
        <f t="shared" si="15"/>
        <v>73.80036630036629</v>
      </c>
      <c r="G120" s="6">
        <f t="shared" si="12"/>
        <v>64.42046362909673</v>
      </c>
      <c r="H120" s="6">
        <f t="shared" si="16"/>
        <v>286.1</v>
      </c>
      <c r="I120" s="6">
        <f t="shared" si="14"/>
        <v>445.1</v>
      </c>
    </row>
    <row r="121" spans="1:9" s="115" customFormat="1" ht="18">
      <c r="A121" s="29" t="s">
        <v>101</v>
      </c>
      <c r="B121" s="81">
        <v>158</v>
      </c>
      <c r="C121" s="51">
        <f>70+88</f>
        <v>158</v>
      </c>
      <c r="D121" s="82">
        <v>70</v>
      </c>
      <c r="E121" s="6"/>
      <c r="F121" s="1">
        <f>D121/B121*100</f>
        <v>44.303797468354425</v>
      </c>
      <c r="G121" s="1">
        <f t="shared" si="12"/>
        <v>44.303797468354425</v>
      </c>
      <c r="H121" s="1">
        <f t="shared" si="16"/>
        <v>88</v>
      </c>
      <c r="I121" s="1">
        <f t="shared" si="14"/>
        <v>88</v>
      </c>
    </row>
    <row r="122" spans="1:9" s="115" customFormat="1" ht="18" hidden="1">
      <c r="A122" s="29" t="s">
        <v>63</v>
      </c>
      <c r="B122" s="81"/>
      <c r="C122" s="51"/>
      <c r="D122" s="82"/>
      <c r="E122" s="6"/>
      <c r="F122" s="1" t="e">
        <f>D122/B122*100</f>
        <v>#DIV/0!</v>
      </c>
      <c r="G122" s="1" t="e">
        <f t="shared" si="12"/>
        <v>#DIV/0!</v>
      </c>
      <c r="H122" s="1">
        <f t="shared" si="16"/>
        <v>0</v>
      </c>
      <c r="I122" s="1">
        <f t="shared" si="14"/>
        <v>0</v>
      </c>
    </row>
    <row r="123" spans="1:9" s="2" customFormat="1" ht="37.5">
      <c r="A123" s="17" t="s">
        <v>48</v>
      </c>
      <c r="B123" s="80">
        <v>2588.7</v>
      </c>
      <c r="C123" s="60">
        <v>2933.8</v>
      </c>
      <c r="D123" s="83">
        <f>21+0.9+174.2+5+11.4+16.5-0.1+809.5+345.2+0.7+692.9+77.6+2.5-0.1+414.9</f>
        <v>2572.1000000000004</v>
      </c>
      <c r="E123" s="19">
        <f>D123/D106*100</f>
        <v>1.7329022356399402</v>
      </c>
      <c r="F123" s="6">
        <f t="shared" si="15"/>
        <v>99.35875149689035</v>
      </c>
      <c r="G123" s="6">
        <f t="shared" si="12"/>
        <v>87.67127956915945</v>
      </c>
      <c r="H123" s="6">
        <f t="shared" si="16"/>
        <v>16.599999999999454</v>
      </c>
      <c r="I123" s="6">
        <f t="shared" si="14"/>
        <v>361.6999999999998</v>
      </c>
    </row>
    <row r="124" spans="1:9" s="2" customFormat="1" ht="56.25">
      <c r="A124" s="17" t="s">
        <v>55</v>
      </c>
      <c r="B124" s="80">
        <v>129.9</v>
      </c>
      <c r="C124" s="60">
        <v>129.9</v>
      </c>
      <c r="D124" s="83">
        <v>129.9</v>
      </c>
      <c r="E124" s="19">
        <f>D124/D106*100</f>
        <v>0.0875175927878497</v>
      </c>
      <c r="F124" s="6">
        <f t="shared" si="15"/>
        <v>100</v>
      </c>
      <c r="G124" s="6">
        <f t="shared" si="12"/>
        <v>100</v>
      </c>
      <c r="H124" s="6">
        <f t="shared" si="16"/>
        <v>0</v>
      </c>
      <c r="I124" s="6">
        <f t="shared" si="14"/>
        <v>0</v>
      </c>
    </row>
    <row r="125" spans="1:9" s="2" customFormat="1" ht="18.75">
      <c r="A125" s="17" t="s">
        <v>97</v>
      </c>
      <c r="B125" s="80">
        <v>2</v>
      </c>
      <c r="C125" s="60">
        <v>2</v>
      </c>
      <c r="D125" s="83">
        <v>2</v>
      </c>
      <c r="E125" s="19">
        <f>D125/D106*100</f>
        <v>0.0013474610128999182</v>
      </c>
      <c r="F125" s="6">
        <f t="shared" si="15"/>
        <v>100</v>
      </c>
      <c r="G125" s="6">
        <f t="shared" si="12"/>
        <v>100</v>
      </c>
      <c r="H125" s="6">
        <f t="shared" si="16"/>
        <v>0</v>
      </c>
      <c r="I125" s="6">
        <f t="shared" si="14"/>
        <v>0</v>
      </c>
    </row>
    <row r="126" spans="1:9" s="2" customFormat="1" ht="37.5">
      <c r="A126" s="17" t="s">
        <v>109</v>
      </c>
      <c r="B126" s="80">
        <v>253.3</v>
      </c>
      <c r="C126" s="60">
        <v>332.4</v>
      </c>
      <c r="D126" s="83">
        <f>25</f>
        <v>25</v>
      </c>
      <c r="E126" s="19">
        <f>D126/D106*100</f>
        <v>0.01684326266124898</v>
      </c>
      <c r="F126" s="6">
        <f t="shared" si="15"/>
        <v>9.86971969996052</v>
      </c>
      <c r="G126" s="6">
        <f t="shared" si="12"/>
        <v>7.521058965102287</v>
      </c>
      <c r="H126" s="6">
        <f t="shared" si="16"/>
        <v>228.3</v>
      </c>
      <c r="I126" s="6">
        <f t="shared" si="14"/>
        <v>307.4</v>
      </c>
    </row>
    <row r="127" spans="1:9" s="2" customFormat="1" ht="37.5">
      <c r="A127" s="17" t="s">
        <v>77</v>
      </c>
      <c r="B127" s="80">
        <f>813.2</f>
        <v>813.2</v>
      </c>
      <c r="C127" s="60">
        <f>101.4+27.9+634-0.1+60.1</f>
        <v>823.3</v>
      </c>
      <c r="D127" s="83">
        <f>3+3+4.9+21.9-0.1+12.2+1.6+6.9+7.8+0.7+8.4+2.4+5+2.4+0.1+5.6+2.4+0.1+5+2.4+578.6+30.5+2.4+19.2+2.4+0.3+0.9+4.2</f>
        <v>734.2</v>
      </c>
      <c r="E127" s="19">
        <f>D127/D106*100</f>
        <v>0.4946529378355601</v>
      </c>
      <c r="F127" s="6">
        <f t="shared" si="15"/>
        <v>90.28529267092966</v>
      </c>
      <c r="G127" s="6">
        <f t="shared" si="12"/>
        <v>89.17769950200413</v>
      </c>
      <c r="H127" s="6">
        <f t="shared" si="16"/>
        <v>79</v>
      </c>
      <c r="I127" s="6">
        <f t="shared" si="14"/>
        <v>89.09999999999991</v>
      </c>
    </row>
    <row r="128" spans="1:9" s="39" customFormat="1" ht="18">
      <c r="A128" s="29" t="s">
        <v>121</v>
      </c>
      <c r="B128" s="81">
        <v>0.6</v>
      </c>
      <c r="C128" s="51">
        <v>1</v>
      </c>
      <c r="D128" s="82"/>
      <c r="E128" s="1"/>
      <c r="F128" s="1">
        <f>D128/B128*100</f>
        <v>0</v>
      </c>
      <c r="G128" s="1">
        <f t="shared" si="12"/>
        <v>0</v>
      </c>
      <c r="H128" s="1">
        <f t="shared" si="16"/>
        <v>0.6</v>
      </c>
      <c r="I128" s="1">
        <f t="shared" si="14"/>
        <v>1</v>
      </c>
    </row>
    <row r="129" spans="1:9" s="2" customFormat="1" ht="18.75">
      <c r="A129" s="17" t="s">
        <v>71</v>
      </c>
      <c r="B129" s="80">
        <f>540.3+74.7</f>
        <v>615</v>
      </c>
      <c r="C129" s="60">
        <v>650</v>
      </c>
      <c r="D129" s="83">
        <f>8.7+23.6+6.2+5.1+38.5+4.6+4.8+8.6+12.9+2.8+0.1+16.3+3+2.5+6.2-0.2+39.7+9.9+9.5+37.2+8.4+10.6+4.5+4.6+8.4+6.1+57.4+4.4+6.7+28+9.4+8.7+4.9+9.5+4.4</f>
        <v>415.9999999999999</v>
      </c>
      <c r="E129" s="19">
        <f>D129/D106*100</f>
        <v>0.2802718906831829</v>
      </c>
      <c r="F129" s="6">
        <f t="shared" si="15"/>
        <v>67.64227642276421</v>
      </c>
      <c r="G129" s="6">
        <f t="shared" si="12"/>
        <v>63.99999999999998</v>
      </c>
      <c r="H129" s="6">
        <f t="shared" si="16"/>
        <v>199.0000000000001</v>
      </c>
      <c r="I129" s="6">
        <f t="shared" si="14"/>
        <v>234.0000000000001</v>
      </c>
    </row>
    <row r="130" spans="1:9" s="39" customFormat="1" ht="18">
      <c r="A130" s="40" t="s">
        <v>53</v>
      </c>
      <c r="B130" s="81">
        <v>74.7</v>
      </c>
      <c r="C130" s="51">
        <v>74.7</v>
      </c>
      <c r="D130" s="82">
        <f>8.7</f>
        <v>8.7</v>
      </c>
      <c r="E130" s="1"/>
      <c r="F130" s="1">
        <f>D130/B130*100</f>
        <v>11.646586345381525</v>
      </c>
      <c r="G130" s="1">
        <f t="shared" si="12"/>
        <v>11.646586345381525</v>
      </c>
      <c r="H130" s="1">
        <f t="shared" si="16"/>
        <v>66</v>
      </c>
      <c r="I130" s="1">
        <f t="shared" si="14"/>
        <v>66</v>
      </c>
    </row>
    <row r="131" spans="1:9" s="2" customFormat="1" ht="35.25" customHeight="1">
      <c r="A131" s="17" t="s">
        <v>70</v>
      </c>
      <c r="B131" s="80">
        <v>61.4</v>
      </c>
      <c r="C131" s="60">
        <f>171.5+14.8-110+48.7</f>
        <v>125.00000000000001</v>
      </c>
      <c r="D131" s="83">
        <f>5.6+5.6+3.5+1.3+1.8+0.1+2.5+14.8+2.8</f>
        <v>38</v>
      </c>
      <c r="E131" s="19">
        <f>D131/D106*100</f>
        <v>0.025601759245098447</v>
      </c>
      <c r="F131" s="6">
        <f t="shared" si="15"/>
        <v>61.88925081433225</v>
      </c>
      <c r="G131" s="6">
        <f t="shared" si="12"/>
        <v>30.4</v>
      </c>
      <c r="H131" s="6">
        <f t="shared" si="16"/>
        <v>23.4</v>
      </c>
      <c r="I131" s="6">
        <f t="shared" si="14"/>
        <v>87.00000000000001</v>
      </c>
    </row>
    <row r="132" spans="1:9" s="2" customFormat="1" ht="35.25" customHeight="1">
      <c r="A132" s="17" t="s">
        <v>72</v>
      </c>
      <c r="B132" s="80">
        <v>110</v>
      </c>
      <c r="C132" s="60">
        <v>220</v>
      </c>
      <c r="D132" s="83"/>
      <c r="E132" s="19">
        <f>D132/D106*100</f>
        <v>0</v>
      </c>
      <c r="F132" s="6">
        <f t="shared" si="15"/>
        <v>0</v>
      </c>
      <c r="G132" s="6">
        <f t="shared" si="12"/>
        <v>0</v>
      </c>
      <c r="H132" s="6">
        <f t="shared" si="16"/>
        <v>110</v>
      </c>
      <c r="I132" s="6">
        <f t="shared" si="14"/>
        <v>220</v>
      </c>
    </row>
    <row r="133" spans="1:9" s="2" customFormat="1" ht="35.25" customHeight="1">
      <c r="A133" s="17" t="s">
        <v>116</v>
      </c>
      <c r="B133" s="80">
        <f>50+20</f>
        <v>70</v>
      </c>
      <c r="C133" s="60">
        <f>50+20</f>
        <v>70</v>
      </c>
      <c r="D133" s="83"/>
      <c r="E133" s="19">
        <f>D133/D106*100</f>
        <v>0</v>
      </c>
      <c r="F133" s="6">
        <f t="shared" si="15"/>
        <v>0</v>
      </c>
      <c r="G133" s="6">
        <f t="shared" si="12"/>
        <v>0</v>
      </c>
      <c r="H133" s="6">
        <f t="shared" si="16"/>
        <v>70</v>
      </c>
      <c r="I133" s="6">
        <f t="shared" si="14"/>
        <v>70</v>
      </c>
    </row>
    <row r="134" spans="1:9" s="2" customFormat="1" ht="35.25" customHeight="1">
      <c r="A134" s="17" t="s">
        <v>117</v>
      </c>
      <c r="B134" s="80">
        <v>202.1</v>
      </c>
      <c r="C134" s="60">
        <v>3882.1</v>
      </c>
      <c r="D134" s="83"/>
      <c r="E134" s="19">
        <f>D134/D106*100</f>
        <v>0</v>
      </c>
      <c r="F134" s="136">
        <f t="shared" si="15"/>
        <v>0</v>
      </c>
      <c r="G134" s="6">
        <f t="shared" si="12"/>
        <v>0</v>
      </c>
      <c r="H134" s="6">
        <f t="shared" si="16"/>
        <v>202.1</v>
      </c>
      <c r="I134" s="6">
        <f t="shared" si="14"/>
        <v>3882.1</v>
      </c>
    </row>
    <row r="135" spans="1:9" s="2" customFormat="1" ht="37.5">
      <c r="A135" s="17" t="s">
        <v>108</v>
      </c>
      <c r="B135" s="80">
        <v>304.3</v>
      </c>
      <c r="C135" s="60">
        <f>265.1+39.2</f>
        <v>304.3</v>
      </c>
      <c r="D135" s="83">
        <f>59.9+7.6+10.7+6.3+5.3+38.1+4+0.1+1.7+3.6+39.2+1.5+0.1+12.4+0.1+5.1+12+1.3</f>
        <v>209</v>
      </c>
      <c r="E135" s="19">
        <f>D135/D106*100</f>
        <v>0.14080967584804147</v>
      </c>
      <c r="F135" s="6">
        <f t="shared" si="15"/>
        <v>68.68222149194874</v>
      </c>
      <c r="G135" s="6">
        <f>D135/C135*100</f>
        <v>68.68222149194874</v>
      </c>
      <c r="H135" s="6">
        <f t="shared" si="16"/>
        <v>95.30000000000001</v>
      </c>
      <c r="I135" s="6">
        <f t="shared" si="14"/>
        <v>95.30000000000001</v>
      </c>
    </row>
    <row r="136" spans="1:9" s="39" customFormat="1" ht="18">
      <c r="A136" s="29" t="s">
        <v>32</v>
      </c>
      <c r="B136" s="81">
        <v>94.2</v>
      </c>
      <c r="C136" s="51">
        <f>64.2+30</f>
        <v>94.2</v>
      </c>
      <c r="D136" s="82">
        <f>7.6+0.3+4.8+38.1+4+0.1+0.1+0.1+8.5+0.1+12</f>
        <v>75.7</v>
      </c>
      <c r="E136" s="1">
        <f>D136/D135*100</f>
        <v>36.22009569377991</v>
      </c>
      <c r="F136" s="1">
        <f t="shared" si="15"/>
        <v>80.36093418259024</v>
      </c>
      <c r="G136" s="1">
        <f>D136/C136*100</f>
        <v>80.36093418259024</v>
      </c>
      <c r="H136" s="1">
        <f t="shared" si="16"/>
        <v>18.5</v>
      </c>
      <c r="I136" s="1">
        <f t="shared" si="14"/>
        <v>18.5</v>
      </c>
    </row>
    <row r="137" spans="1:9" s="2" customFormat="1" ht="18.75">
      <c r="A137" s="17" t="s">
        <v>31</v>
      </c>
      <c r="B137" s="80">
        <v>845.1</v>
      </c>
      <c r="C137" s="60">
        <f>981.9+3.8+55.8</f>
        <v>1041.5</v>
      </c>
      <c r="D137" s="83">
        <f>21.9+41.8+0.1+6.1+26+3.6+0.1+41-0.1+21.3+6.2+7.1+43.4+4.5+8.8+48.5+7.5+32.1+0.1+41.9+8.4+5.1+33.1+1.3+25.6+4.3+48.8+5.3+25.6+1.9+53.3-0.1+30.8+0.1+48.5+0.4+47.7+43.1+43.2</f>
        <v>788.3000000000001</v>
      </c>
      <c r="E137" s="19">
        <f>D137/D106*100</f>
        <v>0.5311017582345029</v>
      </c>
      <c r="F137" s="6">
        <f t="shared" si="15"/>
        <v>93.2789019051</v>
      </c>
      <c r="G137" s="6">
        <f t="shared" si="12"/>
        <v>75.6889102256361</v>
      </c>
      <c r="H137" s="6">
        <f t="shared" si="16"/>
        <v>56.799999999999955</v>
      </c>
      <c r="I137" s="6">
        <f t="shared" si="14"/>
        <v>253.19999999999993</v>
      </c>
    </row>
    <row r="138" spans="1:9" s="39" customFormat="1" ht="18">
      <c r="A138" s="40" t="s">
        <v>53</v>
      </c>
      <c r="B138" s="81">
        <v>735.8</v>
      </c>
      <c r="C138" s="51">
        <f>848.7+46.3</f>
        <v>895</v>
      </c>
      <c r="D138" s="82">
        <f>21.9+39.7+0.1+6.1+19+41-0.1+21.3+43.3+8.5+32.3+32.1+41.5+4.2+33.1+25.6+47+0.1+25.6+53.3+26.2+48.5+0.4+43.2+40.8+42.8</f>
        <v>697.5000000000001</v>
      </c>
      <c r="E138" s="1">
        <f>D138/D137*100</f>
        <v>88.48154255993911</v>
      </c>
      <c r="F138" s="1">
        <f aca="true" t="shared" si="17" ref="F138:F146">D138/B138*100</f>
        <v>94.79478119054093</v>
      </c>
      <c r="G138" s="1">
        <f t="shared" si="12"/>
        <v>77.93296089385477</v>
      </c>
      <c r="H138" s="1">
        <f t="shared" si="16"/>
        <v>38.29999999999984</v>
      </c>
      <c r="I138" s="1">
        <f t="shared" si="14"/>
        <v>197.4999999999999</v>
      </c>
    </row>
    <row r="139" spans="1:9" s="39" customFormat="1" ht="18">
      <c r="A139" s="29" t="s">
        <v>32</v>
      </c>
      <c r="B139" s="81">
        <v>24.7</v>
      </c>
      <c r="C139" s="51">
        <f>26.3+9.5</f>
        <v>35.8</v>
      </c>
      <c r="D139" s="82">
        <f>7+6+0.2+7.1+0.1+0.4+0.3+0.1+0.3+0.4+0.3+0.3</f>
        <v>22.5</v>
      </c>
      <c r="E139" s="1">
        <f>D139/D137*100</f>
        <v>2.8542433083851324</v>
      </c>
      <c r="F139" s="1">
        <f t="shared" si="17"/>
        <v>91.09311740890689</v>
      </c>
      <c r="G139" s="1">
        <f>D139/C139*100</f>
        <v>62.849162011173185</v>
      </c>
      <c r="H139" s="1">
        <f t="shared" si="16"/>
        <v>2.1999999999999993</v>
      </c>
      <c r="I139" s="1">
        <f t="shared" si="14"/>
        <v>13.299999999999997</v>
      </c>
    </row>
    <row r="140" spans="1:9" s="2" customFormat="1" ht="56.25">
      <c r="A140" s="23" t="s">
        <v>113</v>
      </c>
      <c r="B140" s="80">
        <v>200</v>
      </c>
      <c r="C140" s="60">
        <v>200</v>
      </c>
      <c r="D140" s="83">
        <v>200</v>
      </c>
      <c r="E140" s="19">
        <f>D140/D106*100</f>
        <v>0.13474610128999184</v>
      </c>
      <c r="F140" s="112">
        <f t="shared" si="17"/>
        <v>100</v>
      </c>
      <c r="G140" s="6">
        <f t="shared" si="12"/>
        <v>100</v>
      </c>
      <c r="H140" s="6">
        <f t="shared" si="16"/>
        <v>0</v>
      </c>
      <c r="I140" s="6">
        <f t="shared" si="14"/>
        <v>0</v>
      </c>
    </row>
    <row r="141" spans="1:9" s="2" customFormat="1" ht="18.75">
      <c r="A141" s="23" t="s">
        <v>115</v>
      </c>
      <c r="B141" s="80">
        <v>1927</v>
      </c>
      <c r="C141" s="60">
        <f>427+1500+800</f>
        <v>2727</v>
      </c>
      <c r="D141" s="83">
        <f>1000</f>
        <v>1000</v>
      </c>
      <c r="E141" s="19">
        <f>D141/D106*100</f>
        <v>0.6737305064499592</v>
      </c>
      <c r="F141" s="112">
        <f>D141/B141*100</f>
        <v>51.89413596263622</v>
      </c>
      <c r="G141" s="6">
        <f t="shared" si="12"/>
        <v>36.67033370003667</v>
      </c>
      <c r="H141" s="6">
        <f t="shared" si="16"/>
        <v>927</v>
      </c>
      <c r="I141" s="6">
        <f t="shared" si="14"/>
        <v>1727</v>
      </c>
    </row>
    <row r="142" spans="1:9" s="2" customFormat="1" ht="18.75">
      <c r="A142" s="23" t="s">
        <v>110</v>
      </c>
      <c r="B142" s="80">
        <v>13100</v>
      </c>
      <c r="C142" s="60">
        <f>6500-2076-424+9200+2300</f>
        <v>15500</v>
      </c>
      <c r="D142" s="83">
        <f>241.3+64.6+48.1+278.9+170.1+140.9+637.5+150.9+370.2+164.6+344.6+242.4+441.1+0.1+89.8+381.7+177.1+247.5+73.1+327.9+377.9</f>
        <v>4970.299999999999</v>
      </c>
      <c r="E142" s="19">
        <f>D142/D106*100</f>
        <v>3.3486427362082316</v>
      </c>
      <c r="F142" s="112">
        <f t="shared" si="17"/>
        <v>37.941221374045796</v>
      </c>
      <c r="G142" s="6">
        <f t="shared" si="12"/>
        <v>32.066451612903215</v>
      </c>
      <c r="H142" s="6">
        <f t="shared" si="16"/>
        <v>8129.700000000001</v>
      </c>
      <c r="I142" s="6">
        <f t="shared" si="14"/>
        <v>10529.7</v>
      </c>
    </row>
    <row r="143" spans="1:9" s="2" customFormat="1" ht="18.75">
      <c r="A143" s="23" t="s">
        <v>111</v>
      </c>
      <c r="B143" s="80">
        <f>3802+117</f>
        <v>3919</v>
      </c>
      <c r="C143" s="60">
        <f>6082.6-959.5+20</f>
        <v>5143.1</v>
      </c>
      <c r="D143" s="83">
        <f>626.1+43.8+40.3+236+112.9+11.4-0.1+68.6+570.3+22.4+44.4+39.9+585.7+199.1+14+103.1+2.3+286.9+158.5+66.9+234.3+82.1+59.7+189.8</f>
        <v>3798.4000000000005</v>
      </c>
      <c r="E143" s="19">
        <f>D143/D106*100</f>
        <v>2.5590979556995253</v>
      </c>
      <c r="F143" s="112">
        <f t="shared" si="17"/>
        <v>96.92268435825467</v>
      </c>
      <c r="G143" s="6">
        <f t="shared" si="12"/>
        <v>73.85429021407323</v>
      </c>
      <c r="H143" s="6">
        <f t="shared" si="16"/>
        <v>120.59999999999945</v>
      </c>
      <c r="I143" s="6">
        <f t="shared" si="14"/>
        <v>1344.6999999999998</v>
      </c>
    </row>
    <row r="144" spans="1:9" s="2" customFormat="1" ht="18.75">
      <c r="A144" s="17" t="s">
        <v>114</v>
      </c>
      <c r="B144" s="80">
        <v>6282</v>
      </c>
      <c r="C144" s="60">
        <v>8376</v>
      </c>
      <c r="D144" s="83">
        <f>2094+2094+2094</f>
        <v>6282</v>
      </c>
      <c r="E144" s="19">
        <f>D144/D106*100</f>
        <v>4.232375041518644</v>
      </c>
      <c r="F144" s="112">
        <f t="shared" si="17"/>
        <v>100</v>
      </c>
      <c r="G144" s="6">
        <f t="shared" si="12"/>
        <v>75</v>
      </c>
      <c r="H144" s="6">
        <f t="shared" si="16"/>
        <v>0</v>
      </c>
      <c r="I144" s="6">
        <f t="shared" si="14"/>
        <v>2094</v>
      </c>
    </row>
    <row r="145" spans="1:12" s="2" customFormat="1" ht="18.75" customHeight="1">
      <c r="A145" s="17" t="s">
        <v>98</v>
      </c>
      <c r="B145" s="80">
        <v>538.2</v>
      </c>
      <c r="C145" s="60">
        <v>538.2</v>
      </c>
      <c r="D145" s="83">
        <f>507.8+15.4+15</f>
        <v>538.2</v>
      </c>
      <c r="E145" s="19">
        <f>D145/D106*100</f>
        <v>0.36260175857136806</v>
      </c>
      <c r="F145" s="112">
        <f t="shared" si="17"/>
        <v>100</v>
      </c>
      <c r="G145" s="6">
        <f t="shared" si="12"/>
        <v>100</v>
      </c>
      <c r="H145" s="6">
        <f t="shared" si="16"/>
        <v>0</v>
      </c>
      <c r="I145" s="6">
        <f t="shared" si="14"/>
        <v>0</v>
      </c>
      <c r="K145" s="45"/>
      <c r="L145" s="45"/>
    </row>
    <row r="146" spans="1:12" s="2" customFormat="1" ht="19.5" customHeight="1">
      <c r="A146" s="17" t="s">
        <v>64</v>
      </c>
      <c r="B146" s="80">
        <f>103486.4+8580</f>
        <v>112066.4</v>
      </c>
      <c r="C146" s="60">
        <f>91632.1+2530-27+23.1+959.5+13590.1-3797.9+8580</f>
        <v>113489.90000000002</v>
      </c>
      <c r="D146" s="83">
        <f>500.9+20883.8+13804+7506.8+2189.4+1247.6+18786.6+13748.5+10000+5000+2324.4+7494.4+700+880+366.4</f>
        <v>105432.79999999999</v>
      </c>
      <c r="E146" s="19">
        <f>D146/D106*100</f>
        <v>71.03329374043726</v>
      </c>
      <c r="F146" s="6">
        <f t="shared" si="17"/>
        <v>94.08065218477616</v>
      </c>
      <c r="G146" s="6">
        <f t="shared" si="12"/>
        <v>92.90060172755457</v>
      </c>
      <c r="H146" s="6">
        <f t="shared" si="16"/>
        <v>6633.600000000006</v>
      </c>
      <c r="I146" s="6">
        <f t="shared" si="14"/>
        <v>8057.100000000035</v>
      </c>
      <c r="K146" s="103"/>
      <c r="L146" s="45"/>
    </row>
    <row r="147" spans="1:12" s="2" customFormat="1" ht="18.75">
      <c r="A147" s="17" t="s">
        <v>112</v>
      </c>
      <c r="B147" s="80">
        <v>18553</v>
      </c>
      <c r="C147" s="60">
        <v>22263.4</v>
      </c>
      <c r="D147" s="83">
        <f>1236.9+618.4+618.4+618.4+618.5+618.4+618.4+618.5+618.4+618.4+618.5+618.4+618.4+618.5+618.4+618.4+618.5+618.4+618.4+618.5+618.4+618.4+618.4+618.5+618.4+618.5+618.4</f>
        <v>17316.1</v>
      </c>
      <c r="E147" s="19">
        <f>D147/D106*100</f>
        <v>11.666384822738138</v>
      </c>
      <c r="F147" s="6">
        <f t="shared" si="15"/>
        <v>93.33315366787042</v>
      </c>
      <c r="G147" s="6">
        <f t="shared" si="12"/>
        <v>77.77832676051275</v>
      </c>
      <c r="H147" s="6">
        <f t="shared" si="16"/>
        <v>1236.9000000000015</v>
      </c>
      <c r="I147" s="6">
        <f t="shared" si="14"/>
        <v>4947.300000000003</v>
      </c>
      <c r="K147" s="45"/>
      <c r="L147" s="45"/>
    </row>
    <row r="148" spans="1:12" s="2" customFormat="1" ht="19.5" thickBot="1">
      <c r="A148" s="41" t="s">
        <v>36</v>
      </c>
      <c r="B148" s="84">
        <f>B43+B68+B71+B76+B78+B86+B101+B106+B99+B83+B97</f>
        <v>179178.99999999997</v>
      </c>
      <c r="C148" s="84">
        <f>C43+C68+C71+C76+C78+C86+C101+C106+C99+C83+C97</f>
        <v>198844.2</v>
      </c>
      <c r="D148" s="60">
        <f>D43+D68+D71+D76+D78+D86+D101+D106+D99+D83+D97</f>
        <v>154856.20699999997</v>
      </c>
      <c r="E148" s="19"/>
      <c r="F148" s="19"/>
      <c r="G148" s="6"/>
      <c r="H148" s="6"/>
      <c r="I148" s="20"/>
      <c r="K148" s="45"/>
      <c r="L148" s="45"/>
    </row>
    <row r="149" spans="1:12" ht="19.5" thickBot="1">
      <c r="A149" s="14" t="s">
        <v>19</v>
      </c>
      <c r="B149" s="54">
        <f>B6+B18+B33+B43+B51+B58+B68+B71+B76+B78+B86+B89+B94+B101+B106+B99+B83+B97+B45</f>
        <v>827004.7000000001</v>
      </c>
      <c r="C149" s="54">
        <f>C6+C18+C33+C43+C51+C58+C68+C71+C76+C78+C86+C89+C94+C101+C106+C99+C83+C97+C45</f>
        <v>986500.3</v>
      </c>
      <c r="D149" s="54">
        <f>D6+D18+D33+D43+D51+D58+D68+D71+D76+D78+D86+D89+D94+D101+D106+D99+D83+D97+D45</f>
        <v>728931.7069999999</v>
      </c>
      <c r="E149" s="38">
        <v>100</v>
      </c>
      <c r="F149" s="3">
        <f>D149/B149*100</f>
        <v>88.14118069703835</v>
      </c>
      <c r="G149" s="3">
        <f aca="true" t="shared" si="18" ref="G149:G155">D149/C149*100</f>
        <v>73.89067261307471</v>
      </c>
      <c r="H149" s="3">
        <f aca="true" t="shared" si="19" ref="H149:H155">B149-D149</f>
        <v>98072.99300000013</v>
      </c>
      <c r="I149" s="3">
        <f aca="true" t="shared" si="20" ref="I149:I155">C149-D149</f>
        <v>257568.5930000001</v>
      </c>
      <c r="K149" s="46"/>
      <c r="L149" s="47"/>
    </row>
    <row r="150" spans="1:12" ht="18.75">
      <c r="A150" s="23" t="s">
        <v>5</v>
      </c>
      <c r="B150" s="67">
        <f>B8+B20+B34+B52+B59+B90+B114+B118+B46+B138+B130</f>
        <v>462313.49999999994</v>
      </c>
      <c r="C150" s="67">
        <f>C8+C20+C34+C52+C59+C90+C114+C118+C46+C138+C130</f>
        <v>558420.6</v>
      </c>
      <c r="D150" s="67">
        <f>D8+D20+D34+D52+D59+D90+D114+D118+D46+D138+D130</f>
        <v>419417.9999999999</v>
      </c>
      <c r="E150" s="6">
        <f>D150/D149*100</f>
        <v>57.538723583058506</v>
      </c>
      <c r="F150" s="6">
        <f aca="true" t="shared" si="21" ref="F150:F161">D150/B150*100</f>
        <v>90.72155582737686</v>
      </c>
      <c r="G150" s="6">
        <f t="shared" si="18"/>
        <v>75.10790253797943</v>
      </c>
      <c r="H150" s="6">
        <f t="shared" si="19"/>
        <v>42895.50000000006</v>
      </c>
      <c r="I150" s="18">
        <f t="shared" si="20"/>
        <v>139002.6000000001</v>
      </c>
      <c r="K150" s="46"/>
      <c r="L150" s="47"/>
    </row>
    <row r="151" spans="1:12" ht="18.75">
      <c r="A151" s="23" t="s">
        <v>0</v>
      </c>
      <c r="B151" s="68">
        <f>B11+B23+B36+B55+B61+B91+B49+B139+B108+B111+B95+B136</f>
        <v>74331.79999999999</v>
      </c>
      <c r="C151" s="68">
        <f>C11+C23+C36+C55+C61+C91+C49+C139+C108+C111+C95+C136</f>
        <v>99878</v>
      </c>
      <c r="D151" s="68">
        <f>D11+D23+D36+D55+D61+D91+D49+D139+D108+D111+D95+D136</f>
        <v>60036</v>
      </c>
      <c r="E151" s="6">
        <f>D151/D149*100</f>
        <v>8.23616251336972</v>
      </c>
      <c r="F151" s="6">
        <f t="shared" si="21"/>
        <v>80.76758534032543</v>
      </c>
      <c r="G151" s="6">
        <f t="shared" si="18"/>
        <v>60.10933338673181</v>
      </c>
      <c r="H151" s="6">
        <f t="shared" si="19"/>
        <v>14295.799999999988</v>
      </c>
      <c r="I151" s="18">
        <f t="shared" si="20"/>
        <v>39842</v>
      </c>
      <c r="K151" s="46"/>
      <c r="L151" s="102"/>
    </row>
    <row r="152" spans="1:12" ht="18.75">
      <c r="A152" s="23" t="s">
        <v>1</v>
      </c>
      <c r="B152" s="67">
        <f>B22+B10+B54+B48+B60+B35+B102+B122</f>
        <v>20828.600000000002</v>
      </c>
      <c r="C152" s="67">
        <f>C22+C10+C54+C48+C60+C35+C102+C122</f>
        <v>25986.7</v>
      </c>
      <c r="D152" s="67">
        <f>D22+D10+D54+D48+D60+D35+D102+D122</f>
        <v>16412.399999999998</v>
      </c>
      <c r="E152" s="6">
        <f>D152/D149*100</f>
        <v>2.2515689525356315</v>
      </c>
      <c r="F152" s="6">
        <f t="shared" si="21"/>
        <v>78.79742277445433</v>
      </c>
      <c r="G152" s="6">
        <f t="shared" si="18"/>
        <v>63.15692257962726</v>
      </c>
      <c r="H152" s="6">
        <f t="shared" si="19"/>
        <v>4416.200000000004</v>
      </c>
      <c r="I152" s="18">
        <f t="shared" si="20"/>
        <v>9574.300000000003</v>
      </c>
      <c r="K152" s="46"/>
      <c r="L152" s="47"/>
    </row>
    <row r="153" spans="1:12" ht="21" customHeight="1">
      <c r="A153" s="23" t="s">
        <v>15</v>
      </c>
      <c r="B153" s="67">
        <f>B12+B24+B103+B62+B38+B92+B128</f>
        <v>12036.999999999998</v>
      </c>
      <c r="C153" s="67">
        <f>C12+C24+C103+C62+C38+C92+C128</f>
        <v>14286.000000000002</v>
      </c>
      <c r="D153" s="67">
        <f>D12+D24+D103+D62+D38+D92+D128</f>
        <v>9313.599999999999</v>
      </c>
      <c r="E153" s="6">
        <f>D153/D149*100</f>
        <v>1.2777054298174464</v>
      </c>
      <c r="F153" s="6">
        <f t="shared" si="21"/>
        <v>77.37476115311124</v>
      </c>
      <c r="G153" s="6">
        <f t="shared" si="18"/>
        <v>65.19389612207755</v>
      </c>
      <c r="H153" s="6">
        <f t="shared" si="19"/>
        <v>2723.3999999999996</v>
      </c>
      <c r="I153" s="18">
        <f t="shared" si="20"/>
        <v>4972.400000000003</v>
      </c>
      <c r="K153" s="46"/>
      <c r="L153" s="102"/>
    </row>
    <row r="154" spans="1:12" ht="18.75">
      <c r="A154" s="23" t="s">
        <v>2</v>
      </c>
      <c r="B154" s="67">
        <f>B9+B21+B47+B53+B121</f>
        <v>10874.2</v>
      </c>
      <c r="C154" s="67">
        <f>C9+C21+C47+C53+C121</f>
        <v>13384.7</v>
      </c>
      <c r="D154" s="67">
        <f>D9+D21+D47+D53+D121</f>
        <v>8379.000000000002</v>
      </c>
      <c r="E154" s="6">
        <f>D154/D149*100</f>
        <v>1.1494904007516307</v>
      </c>
      <c r="F154" s="6">
        <f t="shared" si="21"/>
        <v>77.0539441981939</v>
      </c>
      <c r="G154" s="6">
        <f t="shared" si="18"/>
        <v>62.601328382406784</v>
      </c>
      <c r="H154" s="6">
        <f t="shared" si="19"/>
        <v>2495.199999999999</v>
      </c>
      <c r="I154" s="18">
        <f t="shared" si="20"/>
        <v>5005.699999999999</v>
      </c>
      <c r="K154" s="46"/>
      <c r="L154" s="47"/>
    </row>
    <row r="155" spans="1:12" ht="19.5" thickBot="1">
      <c r="A155" s="23" t="s">
        <v>34</v>
      </c>
      <c r="B155" s="67">
        <f>B149-B150-B151-B152-B153-B154</f>
        <v>246619.60000000015</v>
      </c>
      <c r="C155" s="67">
        <f>C149-C150-C151-C152-C153-C154</f>
        <v>274544.30000000005</v>
      </c>
      <c r="D155" s="67">
        <f>D149-D150-D151-D152-D153-D154</f>
        <v>215372.70700000005</v>
      </c>
      <c r="E155" s="6">
        <f>D155/D149*100</f>
        <v>29.546349120467063</v>
      </c>
      <c r="F155" s="6">
        <f t="shared" si="21"/>
        <v>87.32992308802704</v>
      </c>
      <c r="G155" s="43">
        <f t="shared" si="18"/>
        <v>78.44734237789676</v>
      </c>
      <c r="H155" s="6">
        <f t="shared" si="19"/>
        <v>31246.8930000001</v>
      </c>
      <c r="I155" s="6">
        <f t="shared" si="20"/>
        <v>59171.59299999999</v>
      </c>
      <c r="K155" s="46"/>
      <c r="L155" s="102"/>
    </row>
    <row r="156" spans="1:12" ht="5.25" customHeight="1" thickBot="1">
      <c r="A156" s="35"/>
      <c r="B156" s="85"/>
      <c r="C156" s="86"/>
      <c r="D156" s="86"/>
      <c r="E156" s="21"/>
      <c r="F156" s="21"/>
      <c r="G156" s="21"/>
      <c r="H156" s="21"/>
      <c r="I156" s="22"/>
      <c r="K156" s="46"/>
      <c r="L156" s="46"/>
    </row>
    <row r="157" spans="1:12" ht="18.75">
      <c r="A157" s="32" t="s">
        <v>21</v>
      </c>
      <c r="B157" s="87">
        <v>24227.7</v>
      </c>
      <c r="C157" s="73">
        <f>3301.9+496+14356.4+1358.1+6215.8</f>
        <v>25728.199999999997</v>
      </c>
      <c r="D157" s="73">
        <f>288.1+1522.4+951.8+530.2+8.8+0.5+0.1+495.9+10.6+101+174.6+2.1+509.4+15+8.4+488.4+154.3+94.8+166.1+65.8+286.9+80.4+239.8+10.1+12.9+335.6+111.7+50.2+26.4+275.5+191.2+157.5+87.7+3.1+124.7+130.9+152.7+23.9+59+160.3+35.6+343.1+932.5+137.5+57.8+203+485.8+210.8</f>
        <v>10514.899999999996</v>
      </c>
      <c r="E157" s="15"/>
      <c r="F157" s="6">
        <f t="shared" si="21"/>
        <v>43.400322771043044</v>
      </c>
      <c r="G157" s="6">
        <f aca="true" t="shared" si="22" ref="G157:G166">D157/C157*100</f>
        <v>40.86916301956607</v>
      </c>
      <c r="H157" s="6">
        <f>B157-D157</f>
        <v>13712.800000000005</v>
      </c>
      <c r="I157" s="6">
        <f aca="true" t="shared" si="23" ref="I157:I166">C157-D157</f>
        <v>15213.300000000001</v>
      </c>
      <c r="K157" s="46"/>
      <c r="L157" s="46"/>
    </row>
    <row r="158" spans="1:12" ht="18.75">
      <c r="A158" s="23" t="s">
        <v>22</v>
      </c>
      <c r="B158" s="88">
        <f>15660.8+1272.3</f>
        <v>16933.1</v>
      </c>
      <c r="C158" s="67">
        <f>16860.5-195+353.2+846+1272.3</f>
        <v>19137</v>
      </c>
      <c r="D158" s="67">
        <f>132.1+649.5+498.6+2.9+146.5+119.3+11.1+935+701.6+2.9+12.3-0.1+18.6+43.3+39.7+94+282.1+33.2+9+121.6+250.9+78.8+80+13.6+23.8+457.4+36</f>
        <v>4793.7</v>
      </c>
      <c r="E158" s="6"/>
      <c r="F158" s="6">
        <f t="shared" si="21"/>
        <v>28.30964206199692</v>
      </c>
      <c r="G158" s="6">
        <f t="shared" si="22"/>
        <v>25.049380780686626</v>
      </c>
      <c r="H158" s="6">
        <f aca="true" t="shared" si="24" ref="H158:H165">B158-D158</f>
        <v>12139.399999999998</v>
      </c>
      <c r="I158" s="6">
        <f t="shared" si="23"/>
        <v>14343.3</v>
      </c>
      <c r="K158" s="46"/>
      <c r="L158" s="46"/>
    </row>
    <row r="159" spans="1:12" ht="18.75">
      <c r="A159" s="23" t="s">
        <v>60</v>
      </c>
      <c r="B159" s="88">
        <f>196927.9+7307.7</f>
        <v>204235.6</v>
      </c>
      <c r="C159" s="67">
        <f>213607.5+29882.9-2140-37856.7-150+7307.7</f>
        <v>210651.40000000002</v>
      </c>
      <c r="D159" s="67">
        <f>72+2507+500.9+784.3+577.6+1236.9+2501.8+375+180.7+310.2-4.2+554.9+23.5+182.4+693.6-182.4+595+297.2+620.2+157.1-0.3+15.6+883.3+9.6+10.4+12-13.2+225+914.2+6+75.1+258.4+29.4+440.2+179+162.3+38+25.2+582.5+76.9+1043.4+165.8+451.1+46.2+149.9+933.7+447.6+405.6+21.2+313.7+1048.7-12.3+790.5+152.3+357.4+13.6+796.5+415.9+661.7+328.7+284.3+179.8-0.1+426.4+204+328.9+143.9+260.8+27.9+23.5+895+99.3+761.6+8.1+407.3+1118.7+40.2+30.8+398.5+132.5-0.3+57.5+1704+431.2+246+425.3+815.5+80.9+316.9+928.1+889.6+29.4+93.9+391.8+278.7+296.1+284.1+353.4+433.8+222.9+552.9+637.2+815+758.9+1039.3+389.3+1327.8+627.7-1427.3-378+1039.3+2542.1+349.7+111.8+1455.6+1274.5+570.6+2133.3+994.7</f>
        <v>53309.10000000002</v>
      </c>
      <c r="E159" s="6"/>
      <c r="F159" s="6">
        <f t="shared" si="21"/>
        <v>26.101766783068193</v>
      </c>
      <c r="G159" s="6">
        <f t="shared" si="22"/>
        <v>25.306786472817183</v>
      </c>
      <c r="H159" s="6">
        <f t="shared" si="24"/>
        <v>150926.5</v>
      </c>
      <c r="I159" s="6">
        <f t="shared" si="23"/>
        <v>157342.3</v>
      </c>
      <c r="K159" s="46"/>
      <c r="L159" s="46"/>
    </row>
    <row r="160" spans="1:12" ht="37.5">
      <c r="A160" s="23" t="s">
        <v>69</v>
      </c>
      <c r="B160" s="88">
        <v>2649.4</v>
      </c>
      <c r="C160" s="67">
        <f>509.4+2140</f>
        <v>2649.4</v>
      </c>
      <c r="D160" s="67">
        <f>309.4+300+1220.5</f>
        <v>1829.9</v>
      </c>
      <c r="E160" s="6"/>
      <c r="F160" s="6">
        <f t="shared" si="21"/>
        <v>69.06846833245264</v>
      </c>
      <c r="G160" s="6">
        <f t="shared" si="22"/>
        <v>69.06846833245264</v>
      </c>
      <c r="H160" s="6">
        <f t="shared" si="24"/>
        <v>819.5</v>
      </c>
      <c r="I160" s="6">
        <f t="shared" si="23"/>
        <v>819.5</v>
      </c>
      <c r="K160" s="46"/>
      <c r="L160" s="46"/>
    </row>
    <row r="161" spans="1:12" ht="18.75">
      <c r="A161" s="23" t="s">
        <v>13</v>
      </c>
      <c r="B161" s="88">
        <v>13472.4</v>
      </c>
      <c r="C161" s="67">
        <f>54+13623.4</f>
        <v>13677.4</v>
      </c>
      <c r="D161" s="67">
        <f>5.2+5.1+225.1+114.9+40.2+5.2+4.6+89.9+13.6+4.1+10.7+98.5+1634+39+1.7-40.2+1.3+4.6+3.7+91+4.8+917.9</f>
        <v>3274.9000000000005</v>
      </c>
      <c r="E161" s="19"/>
      <c r="F161" s="6">
        <f t="shared" si="21"/>
        <v>24.308215314272147</v>
      </c>
      <c r="G161" s="6">
        <f t="shared" si="22"/>
        <v>23.943878222469188</v>
      </c>
      <c r="H161" s="6">
        <f t="shared" si="24"/>
        <v>10197.5</v>
      </c>
      <c r="I161" s="6">
        <f t="shared" si="23"/>
        <v>10402.5</v>
      </c>
      <c r="K161" s="46"/>
      <c r="L161" s="46"/>
    </row>
    <row r="162" spans="1:12" ht="18.75" hidden="1">
      <c r="A162" s="23" t="s">
        <v>26</v>
      </c>
      <c r="B162" s="88"/>
      <c r="C162" s="67"/>
      <c r="D162" s="67"/>
      <c r="E162" s="19"/>
      <c r="F162" s="6" t="e">
        <f>D162/B162*100</f>
        <v>#DIV/0!</v>
      </c>
      <c r="G162" s="6" t="e">
        <f t="shared" si="22"/>
        <v>#DIV/0!</v>
      </c>
      <c r="H162" s="6">
        <f t="shared" si="24"/>
        <v>0</v>
      </c>
      <c r="I162" s="6">
        <f t="shared" si="23"/>
        <v>0</v>
      </c>
      <c r="K162" s="46"/>
      <c r="L162" s="46"/>
    </row>
    <row r="163" spans="1:9" ht="18.75">
      <c r="A163" s="23" t="s">
        <v>52</v>
      </c>
      <c r="B163" s="88">
        <v>1053.5</v>
      </c>
      <c r="C163" s="67">
        <f>1212+158.6</f>
        <v>1370.6</v>
      </c>
      <c r="D163" s="67">
        <f>15.4+25.9+416.9+18.7+17.6</f>
        <v>494.5</v>
      </c>
      <c r="E163" s="19"/>
      <c r="F163" s="6">
        <f>D163/B163*100</f>
        <v>46.93877551020408</v>
      </c>
      <c r="G163" s="6">
        <f t="shared" si="22"/>
        <v>36.079089449875966</v>
      </c>
      <c r="H163" s="6">
        <f t="shared" si="24"/>
        <v>559</v>
      </c>
      <c r="I163" s="6">
        <f t="shared" si="23"/>
        <v>876.0999999999999</v>
      </c>
    </row>
    <row r="164" spans="1:9" ht="19.5" customHeight="1">
      <c r="A164" s="23" t="s">
        <v>67</v>
      </c>
      <c r="B164" s="88">
        <v>307.6</v>
      </c>
      <c r="C164" s="67">
        <v>307.6</v>
      </c>
      <c r="D164" s="67"/>
      <c r="E164" s="19"/>
      <c r="F164" s="6">
        <f>D164/B164*100</f>
        <v>0</v>
      </c>
      <c r="G164" s="6">
        <f t="shared" si="22"/>
        <v>0</v>
      </c>
      <c r="H164" s="6">
        <f t="shared" si="24"/>
        <v>307.6</v>
      </c>
      <c r="I164" s="6">
        <f t="shared" si="23"/>
        <v>307.6</v>
      </c>
    </row>
    <row r="165" spans="1:9" ht="19.5" thickBot="1">
      <c r="A165" s="23" t="s">
        <v>61</v>
      </c>
      <c r="B165" s="88">
        <v>3718.8</v>
      </c>
      <c r="C165" s="89">
        <v>3718.8</v>
      </c>
      <c r="D165" s="89">
        <f>98.8+11.3+146.1+110.9-0.1+10.1+85.3+20.5+418+104.6+257.6+46.9+315.7+1.5+1.4+47.1+128.3+440+24.2+62.6+0.1+90.4+1.3+111.4+230.8+4.4+180+41.1+64.6+325</f>
        <v>3379.9</v>
      </c>
      <c r="E165" s="24"/>
      <c r="F165" s="6">
        <f>D165/B165*100</f>
        <v>90.88684521888781</v>
      </c>
      <c r="G165" s="6">
        <f t="shared" si="22"/>
        <v>90.88684521888781</v>
      </c>
      <c r="H165" s="6">
        <f t="shared" si="24"/>
        <v>338.9000000000001</v>
      </c>
      <c r="I165" s="6">
        <f t="shared" si="23"/>
        <v>338.9000000000001</v>
      </c>
    </row>
    <row r="166" spans="1:9" ht="19.5" thickBot="1">
      <c r="A166" s="14" t="s">
        <v>20</v>
      </c>
      <c r="B166" s="90">
        <f>B149+B157+B161+B162+B158+B165+B164+B159+B163+B160</f>
        <v>1093602.8</v>
      </c>
      <c r="C166" s="90">
        <f>C149+C157+C161+C162+C158+C165+C164+C159+C163+C160</f>
        <v>1263740.7000000002</v>
      </c>
      <c r="D166" s="90">
        <f>D149+D157+D161+D162+D158+D165+D164+D159+D163+D160</f>
        <v>806528.607</v>
      </c>
      <c r="E166" s="25"/>
      <c r="F166" s="3">
        <f>D166/B166*100</f>
        <v>73.74968379744456</v>
      </c>
      <c r="G166" s="3">
        <f t="shared" si="22"/>
        <v>63.820735297992684</v>
      </c>
      <c r="H166" s="3">
        <f>B166-D166</f>
        <v>287074.1930000001</v>
      </c>
      <c r="I166" s="3">
        <f t="shared" si="23"/>
        <v>457212.0930000002</v>
      </c>
    </row>
    <row r="167" spans="7:8" ht="12.75">
      <c r="G167" s="26"/>
      <c r="H167" s="26"/>
    </row>
    <row r="168" spans="7:9" ht="12.75">
      <c r="G168" s="26"/>
      <c r="H168" s="26"/>
      <c r="I168" s="26"/>
    </row>
    <row r="169" spans="7:8" ht="12.75">
      <c r="G169" s="26"/>
      <c r="H169" s="26"/>
    </row>
    <row r="170" spans="7:8" ht="12.75">
      <c r="G170" s="26"/>
      <c r="H170" s="26"/>
    </row>
    <row r="171" spans="7:8" ht="12.75">
      <c r="G171" s="26"/>
      <c r="H171" s="26"/>
    </row>
    <row r="172" spans="7:8" ht="12.75">
      <c r="G172" s="26"/>
      <c r="H172" s="26"/>
    </row>
    <row r="173" spans="7:8" ht="12.75">
      <c r="G173" s="26"/>
      <c r="H173" s="26"/>
    </row>
    <row r="174" spans="7:8" ht="12.75">
      <c r="G174" s="26"/>
      <c r="H174" s="26"/>
    </row>
    <row r="175" spans="7:8" ht="12.75">
      <c r="G175" s="26"/>
      <c r="H175" s="26"/>
    </row>
    <row r="176" spans="7:8" ht="12.75">
      <c r="G176" s="26"/>
      <c r="H176" s="26"/>
    </row>
    <row r="177" spans="7:8" ht="12.75">
      <c r="G177" s="26"/>
      <c r="H177" s="26"/>
    </row>
    <row r="178" spans="7:8" ht="12.75">
      <c r="G178" s="26"/>
      <c r="H178" s="26"/>
    </row>
    <row r="179" spans="7:8" ht="12.75">
      <c r="G179" s="26"/>
      <c r="H179" s="26"/>
    </row>
    <row r="180" spans="7:8" ht="12.75">
      <c r="G180" s="26"/>
      <c r="H180" s="26"/>
    </row>
    <row r="181" spans="7:8" ht="12.75">
      <c r="G181" s="26"/>
      <c r="H181" s="26"/>
    </row>
    <row r="182" spans="7:8" ht="12.75">
      <c r="G182" s="26"/>
      <c r="H182" s="26"/>
    </row>
    <row r="183" spans="7:8" ht="12.75">
      <c r="G183" s="26"/>
      <c r="H183" s="26"/>
    </row>
    <row r="184" spans="7:8" ht="12.75">
      <c r="G184" s="26"/>
      <c r="H184" s="26"/>
    </row>
    <row r="185" spans="7:8" ht="12.75">
      <c r="G185" s="26"/>
      <c r="H185" s="26"/>
    </row>
    <row r="186" spans="7:8" ht="12.75">
      <c r="G186" s="26"/>
      <c r="H186" s="26"/>
    </row>
    <row r="187" spans="7:8" ht="12.75">
      <c r="G187" s="26"/>
      <c r="H187" s="26"/>
    </row>
    <row r="188" spans="7:8" ht="12.75">
      <c r="G188" s="26"/>
      <c r="H188" s="26"/>
    </row>
    <row r="189" spans="7:8" ht="12.75">
      <c r="G189" s="26"/>
      <c r="H189" s="26"/>
    </row>
    <row r="190" spans="7:8" ht="12.75">
      <c r="G190" s="26"/>
      <c r="H190" s="26"/>
    </row>
    <row r="191" spans="7:8" ht="12.75">
      <c r="G191" s="26"/>
      <c r="H191" s="26"/>
    </row>
    <row r="192" spans="7:8" ht="12.75">
      <c r="G192" s="26"/>
      <c r="H192" s="26"/>
    </row>
    <row r="193" spans="7:8" ht="12.75">
      <c r="G193" s="26"/>
      <c r="H193" s="26"/>
    </row>
    <row r="194" spans="7:8" ht="12.75">
      <c r="G194" s="26"/>
      <c r="H194" s="26"/>
    </row>
    <row r="195" spans="7:8" ht="12.75">
      <c r="G195" s="26"/>
      <c r="H195" s="26"/>
    </row>
    <row r="196" spans="7:8" ht="12.75">
      <c r="G196" s="26"/>
      <c r="H196" s="26"/>
    </row>
    <row r="197" spans="7:8" ht="12.75">
      <c r="G197" s="26"/>
      <c r="H197" s="26"/>
    </row>
    <row r="198" spans="7:8" ht="12.75">
      <c r="G198" s="26"/>
      <c r="H198" s="26"/>
    </row>
    <row r="199" spans="7:8" ht="12.75">
      <c r="G199" s="26"/>
      <c r="H199" s="26"/>
    </row>
    <row r="200" spans="7:8" ht="12.75">
      <c r="G200" s="26"/>
      <c r="H200" s="26"/>
    </row>
    <row r="201" spans="7:8" ht="12.75">
      <c r="G201" s="26"/>
      <c r="H201" s="26"/>
    </row>
    <row r="202" spans="7:8" ht="12.75">
      <c r="G202" s="26"/>
      <c r="H202" s="26"/>
    </row>
    <row r="203" spans="7:8" ht="12.75">
      <c r="G203" s="26"/>
      <c r="H203" s="26"/>
    </row>
    <row r="204" spans="7:8" ht="12.75">
      <c r="G204" s="26"/>
      <c r="H204" s="26"/>
    </row>
    <row r="205" spans="7:8" ht="12.75">
      <c r="G205" s="26"/>
      <c r="H205" s="26"/>
    </row>
    <row r="206" spans="7:8" ht="12.75">
      <c r="G206" s="26"/>
      <c r="H206" s="26"/>
    </row>
    <row r="207" spans="7:8" ht="12.75">
      <c r="G207" s="26"/>
      <c r="H207" s="26"/>
    </row>
    <row r="208" spans="7:8" ht="12.75">
      <c r="G208" s="26"/>
      <c r="H208" s="26"/>
    </row>
    <row r="209" spans="7:8" ht="12.75">
      <c r="G209" s="26"/>
      <c r="H209" s="26"/>
    </row>
    <row r="210" spans="7:8" ht="12.75">
      <c r="G210" s="26"/>
      <c r="H210" s="26"/>
    </row>
    <row r="211" spans="7:8" ht="12.75">
      <c r="G211" s="26"/>
      <c r="H211" s="26"/>
    </row>
    <row r="212" spans="7:8" ht="12.75">
      <c r="G212" s="26"/>
      <c r="H212" s="26"/>
    </row>
    <row r="213" spans="7:8" ht="12.75">
      <c r="G213" s="26"/>
      <c r="H213" s="26"/>
    </row>
    <row r="214" spans="7:8" ht="12.75">
      <c r="G214" s="26"/>
      <c r="H214" s="26"/>
    </row>
    <row r="215" spans="7:8" ht="12.75">
      <c r="G215" s="26"/>
      <c r="H215" s="26"/>
    </row>
    <row r="216" spans="7:8" ht="12.75">
      <c r="G216" s="26"/>
      <c r="H216" s="26"/>
    </row>
    <row r="217" spans="7:8" ht="12.75">
      <c r="G217" s="26"/>
      <c r="H217" s="26"/>
    </row>
    <row r="218" spans="7:8" ht="12.75">
      <c r="G218" s="26"/>
      <c r="H218" s="26"/>
    </row>
    <row r="219" spans="7:8" ht="12.75">
      <c r="G219" s="26"/>
      <c r="H219" s="26"/>
    </row>
    <row r="220" spans="7:8" ht="12.75">
      <c r="G220" s="26"/>
      <c r="H220" s="26"/>
    </row>
    <row r="221" spans="7:8" ht="12.75">
      <c r="G221" s="26"/>
      <c r="H221" s="26"/>
    </row>
    <row r="222" spans="7:8" ht="12.75">
      <c r="G222" s="26"/>
      <c r="H222" s="26"/>
    </row>
    <row r="223" spans="7:8" ht="12.75">
      <c r="G223" s="26"/>
      <c r="H223" s="26"/>
    </row>
    <row r="224" spans="7:8" ht="12.75">
      <c r="G224" s="26"/>
      <c r="H224" s="26"/>
    </row>
    <row r="225" spans="7:8" ht="12.75">
      <c r="G225" s="26"/>
      <c r="H225" s="26"/>
    </row>
    <row r="226" spans="7:8" ht="12.75">
      <c r="G226" s="26"/>
      <c r="H226" s="26"/>
    </row>
    <row r="227" spans="7:8" ht="12.75">
      <c r="G227" s="26"/>
      <c r="H227" s="26"/>
    </row>
    <row r="228" spans="7:8" ht="12.75">
      <c r="G228" s="26"/>
      <c r="H228" s="26"/>
    </row>
    <row r="229" spans="7:8" ht="12.75">
      <c r="G229" s="26"/>
      <c r="H229" s="26"/>
    </row>
    <row r="230" spans="7:8" ht="12.75">
      <c r="G230" s="26"/>
      <c r="H230" s="26"/>
    </row>
    <row r="231" spans="7:8" ht="12.75">
      <c r="G231" s="26"/>
      <c r="H231" s="26"/>
    </row>
    <row r="232" spans="7:8" ht="12.75">
      <c r="G232" s="26"/>
      <c r="H232" s="26"/>
    </row>
    <row r="233" spans="7:8" ht="12.75">
      <c r="G233" s="26"/>
      <c r="H233" s="26"/>
    </row>
    <row r="234" spans="7:8" ht="12.75">
      <c r="G234" s="26"/>
      <c r="H234" s="26"/>
    </row>
    <row r="235" spans="7:8" ht="12.75">
      <c r="G235" s="26"/>
      <c r="H235" s="26"/>
    </row>
    <row r="236" spans="7:8" ht="12.75">
      <c r="G236" s="26"/>
      <c r="H236" s="26"/>
    </row>
    <row r="237" spans="7:8" ht="12.75">
      <c r="G237" s="26"/>
      <c r="H237" s="26"/>
    </row>
    <row r="238" spans="7:8" ht="12.75">
      <c r="G238" s="26"/>
      <c r="H238" s="26"/>
    </row>
    <row r="239" spans="7:8" ht="12.75">
      <c r="G239" s="26"/>
      <c r="H239" s="26"/>
    </row>
    <row r="240" spans="7:8" ht="12.75">
      <c r="G240" s="26"/>
      <c r="H240" s="26"/>
    </row>
    <row r="241" spans="7:8" ht="12.75">
      <c r="G241" s="26"/>
      <c r="H241" s="26"/>
    </row>
    <row r="242" spans="7:8" ht="12.75">
      <c r="G242" s="26"/>
      <c r="H242" s="26"/>
    </row>
    <row r="243" spans="7:8" ht="12.75">
      <c r="G243" s="26"/>
      <c r="H243" s="26"/>
    </row>
    <row r="244" spans="7:8" ht="12.75">
      <c r="G244" s="26"/>
      <c r="H244" s="26"/>
    </row>
    <row r="245" spans="7:8" ht="12.75">
      <c r="G245" s="26"/>
      <c r="H245" s="26"/>
    </row>
    <row r="246" spans="7:8" ht="12.75">
      <c r="G246" s="26"/>
      <c r="H246" s="26"/>
    </row>
    <row r="247" spans="7:8" ht="12.75">
      <c r="G247" s="26"/>
      <c r="H247" s="26"/>
    </row>
    <row r="248" spans="7:8" ht="12.75">
      <c r="G248" s="26"/>
      <c r="H248" s="26"/>
    </row>
    <row r="249" spans="7:8" ht="12.75">
      <c r="G249" s="26"/>
      <c r="H249" s="26"/>
    </row>
    <row r="250" spans="7:8" ht="12.75">
      <c r="G250" s="26"/>
      <c r="H250" s="26"/>
    </row>
    <row r="251" spans="7:8" ht="12.75">
      <c r="G251" s="26"/>
      <c r="H251" s="26"/>
    </row>
    <row r="252" spans="7:8" ht="12.75">
      <c r="G252" s="26"/>
      <c r="H252" s="26"/>
    </row>
    <row r="253" spans="7:8" ht="12.75">
      <c r="G253" s="26"/>
      <c r="H253" s="26"/>
    </row>
    <row r="254" spans="7:8" ht="12.75">
      <c r="G254" s="26"/>
      <c r="H254" s="26"/>
    </row>
    <row r="255" spans="7:8" ht="12.75">
      <c r="G255" s="26"/>
      <c r="H255" s="26"/>
    </row>
    <row r="256" spans="7:8" ht="12.75">
      <c r="G256" s="26"/>
      <c r="H256" s="26"/>
    </row>
    <row r="257" spans="7:8" ht="12.75">
      <c r="G257" s="26"/>
      <c r="H257" s="26"/>
    </row>
    <row r="258" spans="7:8" ht="12.75">
      <c r="G258" s="26"/>
      <c r="H258" s="26"/>
    </row>
    <row r="259" spans="7:8" ht="12.75">
      <c r="G259" s="26"/>
      <c r="H259" s="26"/>
    </row>
    <row r="260" spans="7:8" ht="12.75">
      <c r="G260" s="26"/>
      <c r="H260" s="26"/>
    </row>
    <row r="261" spans="7:8" ht="12.75">
      <c r="G261" s="26"/>
      <c r="H261" s="26"/>
    </row>
    <row r="262" spans="7:8" ht="12.75">
      <c r="G262" s="26"/>
      <c r="H262" s="26"/>
    </row>
    <row r="263" spans="7:8" ht="12.75">
      <c r="G263" s="26"/>
      <c r="H263" s="26"/>
    </row>
    <row r="264" spans="7:8" ht="12.75">
      <c r="G264" s="26"/>
      <c r="H264" s="26"/>
    </row>
    <row r="265" spans="7:8" ht="12.75">
      <c r="G265" s="26"/>
      <c r="H265" s="26"/>
    </row>
    <row r="266" spans="7:8" ht="12.75">
      <c r="G266" s="26"/>
      <c r="H266" s="26"/>
    </row>
    <row r="267" spans="7:8" ht="12.75">
      <c r="G267" s="26"/>
      <c r="H267" s="26"/>
    </row>
    <row r="268" spans="7:8" ht="12.75">
      <c r="G268" s="26"/>
      <c r="H268" s="26"/>
    </row>
    <row r="269" spans="7:8" ht="12.75">
      <c r="G269" s="26"/>
      <c r="H269" s="26"/>
    </row>
    <row r="270" spans="7:8" ht="12.75">
      <c r="G270" s="26"/>
      <c r="H270" s="26"/>
    </row>
    <row r="271" spans="7:8" ht="12.75">
      <c r="G271" s="26"/>
      <c r="H271" s="26"/>
    </row>
    <row r="272" spans="7:8" ht="12.75">
      <c r="G272" s="26"/>
      <c r="H272" s="26"/>
    </row>
    <row r="273" spans="7:8" ht="12.75">
      <c r="G273" s="26"/>
      <c r="H273" s="26"/>
    </row>
    <row r="274" spans="7:8" ht="12.75">
      <c r="G274" s="26"/>
      <c r="H274" s="26"/>
    </row>
    <row r="275" spans="7:8" ht="12.75">
      <c r="G275" s="26"/>
      <c r="H275" s="26"/>
    </row>
    <row r="276" spans="7:8" ht="12.75">
      <c r="G276" s="26"/>
      <c r="H276" s="26"/>
    </row>
    <row r="277" spans="7:8" ht="12.75">
      <c r="G277" s="26"/>
      <c r="H277" s="26"/>
    </row>
    <row r="278" spans="7:8" ht="12.75">
      <c r="G278" s="26"/>
      <c r="H278" s="26"/>
    </row>
    <row r="279" spans="7:8" ht="12.75">
      <c r="G279" s="26"/>
      <c r="H279" s="26"/>
    </row>
    <row r="280" spans="7:8" ht="12.75">
      <c r="G280" s="26"/>
      <c r="H280" s="26"/>
    </row>
    <row r="281" spans="7:8" ht="12.75">
      <c r="G281" s="26"/>
      <c r="H281" s="26"/>
    </row>
    <row r="282" spans="7:8" ht="12.75">
      <c r="G282" s="26"/>
      <c r="H282" s="26"/>
    </row>
    <row r="283" spans="7:8" ht="12.75">
      <c r="G283" s="26"/>
      <c r="H283" s="26"/>
    </row>
    <row r="284" spans="7:8" ht="12.75">
      <c r="G284" s="26"/>
      <c r="H284" s="26"/>
    </row>
    <row r="285" spans="7:8" ht="12.75">
      <c r="G285" s="26"/>
      <c r="H285" s="26"/>
    </row>
    <row r="286" spans="7:8" ht="12.75">
      <c r="G286" s="26"/>
      <c r="H286" s="26"/>
    </row>
    <row r="287" spans="7:8" ht="12.75">
      <c r="G287" s="26"/>
      <c r="H287" s="26"/>
    </row>
    <row r="288" spans="7:8" ht="12.75">
      <c r="G288" s="26"/>
      <c r="H288" s="26"/>
    </row>
    <row r="289" spans="7:8" ht="12.75">
      <c r="G289" s="26"/>
      <c r="H289" s="26"/>
    </row>
    <row r="290" spans="7:8" ht="12.75">
      <c r="G290" s="26"/>
      <c r="H290" s="26"/>
    </row>
    <row r="291" spans="7:8" ht="12.75">
      <c r="G291" s="26"/>
      <c r="H291" s="26"/>
    </row>
    <row r="292" spans="7:8" ht="12.75">
      <c r="G292" s="26"/>
      <c r="H292" s="26"/>
    </row>
    <row r="293" spans="7:8" ht="12.75">
      <c r="G293" s="26"/>
      <c r="H293" s="26"/>
    </row>
    <row r="294" spans="7:8" ht="12.75">
      <c r="G294" s="26"/>
      <c r="H294" s="26"/>
    </row>
    <row r="295" spans="7:8" ht="12.75">
      <c r="G295" s="26"/>
      <c r="H295" s="26"/>
    </row>
    <row r="296" spans="7:8" ht="12.75">
      <c r="G296" s="26"/>
      <c r="H296" s="26"/>
    </row>
    <row r="297" spans="7:8" ht="12.75">
      <c r="G297" s="26"/>
      <c r="H297" s="26"/>
    </row>
    <row r="298" spans="7:8" ht="12.75">
      <c r="G298" s="26"/>
      <c r="H298" s="26"/>
    </row>
    <row r="299" spans="7:8" ht="12.75">
      <c r="G299" s="26"/>
      <c r="H299" s="26"/>
    </row>
    <row r="300" spans="7:8" ht="12.75">
      <c r="G300" s="26"/>
      <c r="H300" s="26"/>
    </row>
    <row r="301" spans="7:8" ht="12.75">
      <c r="G301" s="26"/>
      <c r="H301" s="26"/>
    </row>
    <row r="302" spans="7:8" ht="12.75">
      <c r="G302" s="26"/>
      <c r="H302" s="26"/>
    </row>
    <row r="303" spans="7:8" ht="12.75">
      <c r="G303" s="26"/>
      <c r="H303" s="26"/>
    </row>
    <row r="304" spans="7:8" ht="12.75">
      <c r="G304" s="26"/>
      <c r="H304" s="26"/>
    </row>
    <row r="305" spans="7:8" ht="12.75">
      <c r="G305" s="26"/>
      <c r="H305" s="26"/>
    </row>
    <row r="306" spans="7:8" ht="12.75">
      <c r="G306" s="26"/>
      <c r="H306" s="26"/>
    </row>
    <row r="307" spans="7:8" ht="12.75">
      <c r="G307" s="26"/>
      <c r="H307" s="26"/>
    </row>
    <row r="308" spans="7:8" ht="12.75">
      <c r="G308" s="26"/>
      <c r="H308" s="26"/>
    </row>
    <row r="309" spans="7:8" ht="12.75">
      <c r="G309" s="26"/>
      <c r="H309" s="26"/>
    </row>
    <row r="310" spans="7:8" ht="12.75">
      <c r="G310" s="26"/>
      <c r="H310" s="26"/>
    </row>
    <row r="311" spans="7:8" ht="12.75">
      <c r="G311" s="26"/>
      <c r="H311" s="26"/>
    </row>
    <row r="312" spans="7:8" ht="12.75">
      <c r="G312" s="26"/>
      <c r="H312" s="26"/>
    </row>
    <row r="313" spans="7:8" ht="12.75">
      <c r="G313" s="26"/>
      <c r="H313" s="26"/>
    </row>
    <row r="314" spans="7:8" ht="12.75">
      <c r="G314" s="26"/>
      <c r="H314" s="26"/>
    </row>
    <row r="315" spans="7:8" ht="12.75">
      <c r="G315" s="26"/>
      <c r="H315" s="26"/>
    </row>
    <row r="316" spans="7:8" ht="12.75">
      <c r="G316" s="26"/>
      <c r="H316" s="26"/>
    </row>
    <row r="317" spans="7:8" ht="12.75">
      <c r="G317" s="26"/>
      <c r="H317" s="26"/>
    </row>
    <row r="318" spans="7:8" ht="12.75">
      <c r="G318" s="26"/>
      <c r="H318" s="26"/>
    </row>
    <row r="319" spans="7:8" ht="12.75">
      <c r="G319" s="26"/>
      <c r="H319" s="26"/>
    </row>
    <row r="320" spans="7:8" ht="12.75">
      <c r="G320" s="26"/>
      <c r="H320" s="26"/>
    </row>
    <row r="321" spans="7:8" ht="12.75">
      <c r="G321" s="26"/>
      <c r="H321" s="26"/>
    </row>
    <row r="322" spans="7:8" ht="12.75">
      <c r="G322" s="26"/>
      <c r="H322" s="26"/>
    </row>
    <row r="323" spans="7:8" ht="12.75">
      <c r="G323" s="26"/>
      <c r="H323" s="26"/>
    </row>
    <row r="324" spans="7:8" ht="12.75">
      <c r="G324" s="26"/>
      <c r="H324" s="26"/>
    </row>
    <row r="325" spans="7:8" ht="12.75">
      <c r="G325" s="26"/>
      <c r="H325" s="26"/>
    </row>
    <row r="326" spans="7:8" ht="12.75">
      <c r="G326" s="26"/>
      <c r="H326" s="26"/>
    </row>
    <row r="327" spans="7:8" ht="12.75">
      <c r="G327" s="26"/>
      <c r="H327" s="26"/>
    </row>
    <row r="328" spans="7:8" ht="12.75">
      <c r="G328" s="26"/>
      <c r="H328" s="26"/>
    </row>
    <row r="329" spans="7:8" ht="12.75">
      <c r="G329" s="26"/>
      <c r="H329" s="26"/>
    </row>
    <row r="330" spans="7:8" ht="12.75">
      <c r="G330" s="26"/>
      <c r="H330" s="26"/>
    </row>
    <row r="331" spans="7:8" ht="12.75">
      <c r="G331" s="26"/>
      <c r="H331" s="26"/>
    </row>
    <row r="332" spans="7:8" ht="12.75">
      <c r="G332" s="26"/>
      <c r="H332" s="26"/>
    </row>
    <row r="333" spans="7:8" ht="12.75">
      <c r="G333" s="26"/>
      <c r="H333" s="26"/>
    </row>
    <row r="334" spans="7:8" ht="12.75">
      <c r="G334" s="26"/>
      <c r="H334" s="26"/>
    </row>
    <row r="335" spans="7:8" ht="12.75">
      <c r="G335" s="26"/>
      <c r="H335" s="26"/>
    </row>
    <row r="336" spans="7:8" ht="12.75">
      <c r="G336" s="26"/>
      <c r="H336" s="26"/>
    </row>
    <row r="337" spans="7:8" ht="12.75">
      <c r="G337" s="26"/>
      <c r="H337" s="26"/>
    </row>
    <row r="338" spans="7:8" ht="12.75">
      <c r="G338" s="26"/>
      <c r="H338" s="26"/>
    </row>
    <row r="339" spans="7:8" ht="12.75">
      <c r="G339" s="26"/>
      <c r="H339" s="26"/>
    </row>
    <row r="340" spans="7:8" ht="12.75">
      <c r="G340" s="26"/>
      <c r="H340" s="26"/>
    </row>
    <row r="341" spans="7:8" ht="12.75">
      <c r="G341" s="26"/>
      <c r="H341" s="26"/>
    </row>
    <row r="342" spans="7:8" ht="12.75">
      <c r="G342" s="26"/>
      <c r="H342" s="26"/>
    </row>
    <row r="343" spans="7:8" ht="12.75">
      <c r="G343" s="26"/>
      <c r="H343" s="26"/>
    </row>
    <row r="344" spans="7:8" ht="12.75">
      <c r="G344" s="26"/>
      <c r="H344" s="26"/>
    </row>
    <row r="345" spans="7:8" ht="12.75">
      <c r="G345" s="26"/>
      <c r="H345" s="26"/>
    </row>
    <row r="346" spans="7:8" ht="12.75">
      <c r="G346" s="26"/>
      <c r="H346" s="26"/>
    </row>
    <row r="347" spans="7:8" ht="12.75">
      <c r="G347" s="26"/>
      <c r="H347" s="26"/>
    </row>
    <row r="348" spans="7:8" ht="12.75">
      <c r="G348" s="26"/>
      <c r="H348" s="26"/>
    </row>
    <row r="349" spans="7:8" ht="12.75">
      <c r="G349" s="26"/>
      <c r="H349" s="26"/>
    </row>
    <row r="350" spans="7:8" ht="12.75">
      <c r="G350" s="26"/>
      <c r="H350" s="26"/>
    </row>
    <row r="351" spans="7:8" ht="12.75">
      <c r="G351" s="26"/>
      <c r="H351" s="26"/>
    </row>
    <row r="352" spans="7:8" ht="12.75">
      <c r="G352" s="26"/>
      <c r="H352" s="26"/>
    </row>
    <row r="353" spans="7:8" ht="12.75">
      <c r="G353" s="26"/>
      <c r="H353" s="26"/>
    </row>
    <row r="354" spans="7:8" ht="12.75">
      <c r="G354" s="26"/>
      <c r="H354" s="26"/>
    </row>
    <row r="355" spans="7:8" ht="12.75">
      <c r="G355" s="26"/>
      <c r="H355" s="26"/>
    </row>
    <row r="356" spans="7:8" ht="12.75">
      <c r="G356" s="26"/>
      <c r="H356" s="26"/>
    </row>
    <row r="357" spans="7:8" ht="12.75">
      <c r="G357" s="26"/>
      <c r="H357" s="26"/>
    </row>
    <row r="358" spans="7:8" ht="12.75">
      <c r="G358" s="26"/>
      <c r="H358" s="26"/>
    </row>
    <row r="359" spans="7:8" ht="12.75">
      <c r="G359" s="26"/>
      <c r="H359" s="26"/>
    </row>
    <row r="360" spans="7:8" ht="12.75">
      <c r="G360" s="26"/>
      <c r="H360" s="26"/>
    </row>
    <row r="361" spans="7:8" ht="12.75">
      <c r="G361" s="26"/>
      <c r="H361" s="26"/>
    </row>
    <row r="362" spans="7:8" ht="12.75">
      <c r="G362" s="26"/>
      <c r="H362" s="26"/>
    </row>
    <row r="363" spans="7:8" ht="12.75">
      <c r="G363" s="26"/>
      <c r="H363" s="26"/>
    </row>
    <row r="364" spans="7:8" ht="12.75">
      <c r="G364" s="26"/>
      <c r="H364" s="26"/>
    </row>
    <row r="365" spans="7:8" ht="12.75">
      <c r="G365" s="26"/>
      <c r="H365" s="26"/>
    </row>
    <row r="366" spans="7:8" ht="12.75">
      <c r="G366" s="26"/>
      <c r="H366" s="26"/>
    </row>
    <row r="367" spans="7:8" ht="12.75">
      <c r="G367" s="26"/>
      <c r="H367" s="26"/>
    </row>
    <row r="368" spans="7:8" ht="12.75">
      <c r="G368" s="26"/>
      <c r="H368" s="26"/>
    </row>
    <row r="369" spans="7:8" ht="12.75">
      <c r="G369" s="26"/>
      <c r="H369" s="26"/>
    </row>
    <row r="370" spans="7:8" ht="12.75">
      <c r="G370" s="26"/>
      <c r="H370" s="26"/>
    </row>
    <row r="371" spans="7:8" ht="12.75">
      <c r="G371" s="26"/>
      <c r="H371" s="26"/>
    </row>
    <row r="372" spans="7:8" ht="12.75">
      <c r="G372" s="26"/>
      <c r="H372" s="26"/>
    </row>
    <row r="373" spans="7:8" ht="12.75">
      <c r="G373" s="26"/>
      <c r="H373" s="26"/>
    </row>
    <row r="374" spans="7:8" ht="12.75">
      <c r="G374" s="26"/>
      <c r="H374" s="26"/>
    </row>
    <row r="375" spans="7:8" ht="12.75">
      <c r="G375" s="26"/>
      <c r="H375" s="26"/>
    </row>
    <row r="376" spans="7:8" ht="12.75">
      <c r="G376" s="26"/>
      <c r="H376" s="26"/>
    </row>
    <row r="377" spans="7:8" ht="12.75">
      <c r="G377" s="26"/>
      <c r="H377" s="26"/>
    </row>
    <row r="378" spans="7:8" ht="12.75">
      <c r="G378" s="26"/>
      <c r="H378" s="26"/>
    </row>
    <row r="379" spans="7:8" ht="12.75">
      <c r="G379" s="26"/>
      <c r="H379" s="26"/>
    </row>
    <row r="380" spans="7:8" ht="12.75">
      <c r="G380" s="26"/>
      <c r="H380" s="26"/>
    </row>
    <row r="381" spans="7:8" ht="12.75">
      <c r="G381" s="26"/>
      <c r="H381" s="26"/>
    </row>
    <row r="382" spans="7:8" ht="12.75">
      <c r="G382" s="26"/>
      <c r="H382" s="26"/>
    </row>
    <row r="383" spans="7:8" ht="12.75">
      <c r="G383" s="26"/>
      <c r="H383" s="26"/>
    </row>
    <row r="384" spans="7:8" ht="12.75">
      <c r="G384" s="26"/>
      <c r="H384" s="26"/>
    </row>
    <row r="385" spans="7:8" ht="12.75">
      <c r="G385" s="26"/>
      <c r="H385" s="26"/>
    </row>
    <row r="386" spans="7:8" ht="12.75">
      <c r="G386" s="26"/>
      <c r="H386" s="26"/>
    </row>
    <row r="387" spans="7:8" ht="12.75">
      <c r="G387" s="26"/>
      <c r="H387" s="26"/>
    </row>
    <row r="388" spans="7:8" ht="12.75">
      <c r="G388" s="26"/>
      <c r="H388" s="26"/>
    </row>
    <row r="389" spans="7:8" ht="12.75">
      <c r="G389" s="26"/>
      <c r="H389" s="26"/>
    </row>
    <row r="390" spans="7:8" ht="12.75">
      <c r="G390" s="26"/>
      <c r="H390" s="26"/>
    </row>
    <row r="391" spans="7:8" ht="12.75">
      <c r="G391" s="26"/>
      <c r="H391" s="26"/>
    </row>
    <row r="392" spans="7:8" ht="12.75">
      <c r="G392" s="26"/>
      <c r="H392" s="26"/>
    </row>
    <row r="393" spans="7:8" ht="12.75">
      <c r="G393" s="26"/>
      <c r="H393" s="26"/>
    </row>
    <row r="394" spans="7:8" ht="12.75">
      <c r="G394" s="26"/>
      <c r="H394" s="26"/>
    </row>
    <row r="395" spans="7:8" ht="12.75">
      <c r="G395" s="26"/>
      <c r="H395" s="26"/>
    </row>
    <row r="396" spans="7:8" ht="12.75">
      <c r="G396" s="26"/>
      <c r="H396" s="26"/>
    </row>
    <row r="397" spans="7:8" ht="12.75">
      <c r="G397" s="26"/>
      <c r="H397" s="26"/>
    </row>
    <row r="398" spans="7:8" ht="12.75">
      <c r="G398" s="26"/>
      <c r="H398" s="26"/>
    </row>
    <row r="399" spans="7:8" ht="12.75">
      <c r="G399" s="26"/>
      <c r="H399" s="26"/>
    </row>
    <row r="400" spans="7:8" ht="12.75">
      <c r="G400" s="26"/>
      <c r="H400" s="26"/>
    </row>
    <row r="401" spans="7:8" ht="12.75">
      <c r="G401" s="26"/>
      <c r="H401" s="26"/>
    </row>
    <row r="402" spans="7:8" ht="12.75">
      <c r="G402" s="26"/>
      <c r="H402" s="26"/>
    </row>
    <row r="403" spans="7:8" ht="12.75">
      <c r="G403" s="26"/>
      <c r="H403" s="26"/>
    </row>
    <row r="404" spans="7:8" ht="12.75">
      <c r="G404" s="26"/>
      <c r="H404" s="26"/>
    </row>
    <row r="405" spans="7:8" ht="12.75">
      <c r="G405" s="26"/>
      <c r="H405" s="26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0" operator="lessThan" stopIfTrue="1">
      <formula>0</formula>
    </cfRule>
  </conditionalFormatting>
  <conditionalFormatting sqref="H6:I166">
    <cfRule type="cellIs" priority="2" dxfId="1" operator="lessThan" stopIfTrue="1">
      <formula>0</formula>
    </cfRule>
  </conditionalFormatting>
  <printOptions/>
  <pageMargins left="0.61" right="0.16" top="0.37" bottom="0.42" header="0.17" footer="0.18"/>
  <pageSetup fitToHeight="2" fitToWidth="1" horizontalDpi="600" verticalDpi="600" orientation="portrait" paperSize="9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R19" sqref="R19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фінансування'!C149</f>
        <v>986500.3</v>
      </c>
    </row>
    <row r="2" spans="1:5" ht="15.75">
      <c r="A2" s="4"/>
      <c r="B2" s="4"/>
      <c r="C2" s="4"/>
      <c r="D2" s="4" t="s">
        <v>38</v>
      </c>
      <c r="E2" s="5">
        <f>'аналіз фінансування'!D149</f>
        <v>728931.7069999999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6" sqref="Q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20" sqref="Q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0" sqref="R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20" sqref="Q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20" sqref="Q20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L45" sqref="L45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Q18" sqref="Q18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фінансування'!C149</f>
        <v>986500.3</v>
      </c>
    </row>
    <row r="2" spans="1:5" ht="15.75">
      <c r="A2" s="4"/>
      <c r="B2" s="4"/>
      <c r="C2" s="4"/>
      <c r="D2" s="4" t="s">
        <v>38</v>
      </c>
      <c r="E2" s="5">
        <f>'аналіз фінансування'!D149</f>
        <v>728931.7069999999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2015-09-30T12:13:24Z</cp:lastPrinted>
  <dcterms:created xsi:type="dcterms:W3CDTF">2000-06-20T04:48:00Z</dcterms:created>
  <dcterms:modified xsi:type="dcterms:W3CDTF">2015-10-15T08:28:23Z</dcterms:modified>
  <cp:category/>
  <cp:version/>
  <cp:contentType/>
  <cp:contentStatus/>
</cp:coreProperties>
</file>